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queryTables/queryTable1.xml" ContentType="application/vnd.openxmlformats-officedocument.spreadsheetml.query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C:\Users\m60540\Desktop\ŽIV IS\PIRKIMO SĄLYGOS\KOMISIJOS TVIRTINIMUI\"/>
    </mc:Choice>
  </mc:AlternateContent>
  <xr:revisionPtr revIDLastSave="0" documentId="13_ncr:1_{23E362F3-607C-435A-BA59-256433436D7B}" xr6:coauthVersionLast="47" xr6:coauthVersionMax="47" xr10:uidLastSave="{00000000-0000-0000-0000-000000000000}"/>
  <bookViews>
    <workbookView xWindow="-120" yWindow="-120" windowWidth="29040" windowHeight="15720" firstSheet="2" activeTab="2" xr2:uid="{E3A25D7C-20E0-4B7D-ADF8-02CC61D8550B}"/>
  </bookViews>
  <sheets>
    <sheet name="Informacija" sheetId="15" r:id="rId1"/>
    <sheet name="version" sheetId="21" state="veryHidden" r:id="rId2"/>
    <sheet name="duomenys" sheetId="1" r:id="rId3"/>
    <sheet name="formules" sheetId="22" state="veryHidden" r:id="rId4"/>
    <sheet name="Indifference" sheetId="14" state="veryHidden" r:id="rId5"/>
    <sheet name="iliustracijos" sheetId="4" state="veryHidden" r:id="rId6"/>
    <sheet name="matrix" sheetId="5" state="veryHidden" r:id="rId7"/>
    <sheet name="1" sheetId="6" state="veryHidden" r:id="rId8"/>
    <sheet name="2" sheetId="7" state="veryHidden" r:id="rId9"/>
    <sheet name="3" sheetId="8" state="veryHidden" r:id="rId10"/>
    <sheet name="4" sheetId="9" state="veryHidden" r:id="rId11"/>
    <sheet name="strings" sheetId="23" state="veryHidden" r:id="rId12"/>
    <sheet name="5" sheetId="10" state="veryHidden" r:id="rId13"/>
    <sheet name="6" sheetId="11" state="veryHidden" r:id="rId14"/>
  </sheets>
  <definedNames>
    <definedName name="absolute">INDEX(iliustracijos!$B$1:$B$3, MATCH(iliustracijos!$B$4,iliustracijos!$A$1:$A$2,0))</definedName>
    <definedName name="ExternalData_1" localSheetId="1" hidden="1">version!$A$1:$A$2</definedName>
    <definedName name="formulAB">INDEX(formules!$D$49:$D$55, MATCH(duomenys!$Q$12,formules!$C$49:$C$55,0))</definedName>
    <definedName name="formule_pav">INDEX(formules!$P$1:$P$116, MATCH(formules!$B$59,formules!$C$1:$C$116,0))</definedName>
    <definedName name="identifikatoriai">INDEX(iliustracijos!$C$1:$C$2, MATCH(duomenys!$G$7,iliustracijos!$D$1:$D$2,0))</definedName>
    <definedName name="indif">INDEX(iliustracijos!$D$1:$D$10, MATCH(iliustracijos!$D$12,iliustracijos!$C$1:$C$10,0))</definedName>
    <definedName name="infinity">INDEX(iliustracijos!$F$1:$F$2, MATCH(iliustracijos!$F$3,iliustracijos!$E$1:$E$2,0))</definedName>
    <definedName name="kainos">duomenys!$F$11:$O$11</definedName>
    <definedName name="n">duomenys!$D$34</definedName>
    <definedName name="P">duomenys!$F$11:$O$11</definedName>
    <definedName name="Pbest">#REF!</definedName>
    <definedName name="pics">#REF!</definedName>
    <definedName name="pmax">duomenys!$E$11</definedName>
    <definedName name="pmax\">duomenys!$E$11</definedName>
    <definedName name="pmin">duomenys!$D$11</definedName>
    <definedName name="pref">duomenys!$D$33</definedName>
    <definedName name="_xlnm.Print_Area" localSheetId="2">duomenys!$A$10:$O$43</definedName>
    <definedName name="Pworst">#REF!</definedName>
    <definedName name="Q">duomenys!$F$39:$O$39</definedName>
    <definedName name="qmin">duomenys!$D$32</definedName>
    <definedName name="Qx">duomenys!$F$40:$O$40</definedName>
    <definedName name="sm">formules!$B$58</definedName>
    <definedName name="solver_adj" localSheetId="2" hidden="1">duomenys!$F$11:$H$12</definedName>
    <definedName name="solver_cvg" localSheetId="2" hidden="1">0.0001</definedName>
    <definedName name="solver_drv" localSheetId="2" hidden="1">2</definedName>
    <definedName name="solver_eng" localSheetId="2" hidden="1">1</definedName>
    <definedName name="solver_eng" localSheetId="4" hidden="1">1</definedName>
    <definedName name="solver_est" localSheetId="2" hidden="1">1</definedName>
    <definedName name="solver_itr" localSheetId="2" hidden="1">2147483647</definedName>
    <definedName name="solver_lhs1" localSheetId="2" hidden="1">duomenys!$F$12:$H$12</definedName>
    <definedName name="solver_lhs2" localSheetId="2" hidden="1">duomenys!$F$12:$H$12</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eg" localSheetId="4" hidden="1">1</definedName>
    <definedName name="solver_nod" localSheetId="2" hidden="1">2147483647</definedName>
    <definedName name="solver_num" localSheetId="2" hidden="1">2</definedName>
    <definedName name="solver_num" localSheetId="4" hidden="1">0</definedName>
    <definedName name="solver_nwt" localSheetId="2" hidden="1">1</definedName>
    <definedName name="solver_opt" localSheetId="2" hidden="1">duomenys!$G$46</definedName>
    <definedName name="solver_opt" localSheetId="4" hidden="1">Indifference!$Q$31</definedName>
    <definedName name="solver_pre" localSheetId="2" hidden="1">0.000001</definedName>
    <definedName name="solver_rbv" localSheetId="2" hidden="1">2</definedName>
    <definedName name="solver_rel1" localSheetId="2" hidden="1">1</definedName>
    <definedName name="solver_rel2" localSheetId="2" hidden="1">3</definedName>
    <definedName name="solver_rhs1" localSheetId="2" hidden="1">duomenys!$A$12</definedName>
    <definedName name="solver_rhs2" localSheetId="2" hidden="1">0</definedName>
    <definedName name="solver_rlx" localSheetId="2" hidden="1">2</definedName>
    <definedName name="solver_rsd" localSheetId="2" hidden="1">0</definedName>
    <definedName name="solver_scl" localSheetId="2" hidden="1">2</definedName>
    <definedName name="solver_sho" localSheetId="2" hidden="1">2</definedName>
    <definedName name="solver_ssz" localSheetId="2" hidden="1">100</definedName>
    <definedName name="solver_tim" localSheetId="2" hidden="1">2147483647</definedName>
    <definedName name="solver_typ" localSheetId="2" hidden="1">3</definedName>
    <definedName name="solver_typ" localSheetId="4" hidden="1">1</definedName>
    <definedName name="solver_tol" localSheetId="2" hidden="1">0.01</definedName>
    <definedName name="solver_val" localSheetId="2" hidden="1">20</definedName>
    <definedName name="solver_val" localSheetId="4" hidden="1">0</definedName>
    <definedName name="solver_ver" localSheetId="2" hidden="1">3</definedName>
    <definedName name="solver_ver" localSheetId="4" hidden="1">3</definedName>
    <definedName name="tn">formules!#REF!</definedName>
    <definedName name="ui">formules!$F$77:$O$77</definedName>
    <definedName name="WP">duomenys!$A$11</definedName>
    <definedName name="WQ">formules!$B$57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22" l="1"/>
  <c r="Q16" i="22"/>
  <c r="Q14" i="22"/>
  <c r="Q13" i="22"/>
  <c r="R10" i="14"/>
  <c r="S10" i="14"/>
  <c r="T10" i="14"/>
  <c r="U10" i="14"/>
  <c r="V10" i="14"/>
  <c r="W10" i="14"/>
  <c r="X10" i="14"/>
  <c r="Y10" i="14"/>
  <c r="Z10" i="14"/>
  <c r="Q10" i="14"/>
  <c r="A4" i="10"/>
  <c r="B4" i="10"/>
  <c r="C4" i="10"/>
  <c r="D4" i="10"/>
  <c r="E4" i="10"/>
  <c r="F4" i="10"/>
  <c r="G4" i="10"/>
  <c r="H4" i="10"/>
  <c r="I4" i="10"/>
  <c r="J4" i="10"/>
  <c r="B66" i="22"/>
  <c r="B102" i="22" l="1"/>
  <c r="C102" i="22"/>
  <c r="D102" i="22"/>
  <c r="E102" i="22"/>
  <c r="F102" i="22"/>
  <c r="G102" i="22"/>
  <c r="H102" i="22"/>
  <c r="I102" i="22"/>
  <c r="J102" i="22"/>
  <c r="K102" i="22"/>
  <c r="B62" i="22" l="1"/>
  <c r="C62" i="22"/>
  <c r="D62" i="22"/>
  <c r="E62" i="22"/>
  <c r="F62" i="22"/>
  <c r="G62" i="22"/>
  <c r="H62" i="22"/>
  <c r="I62" i="22"/>
  <c r="J62" i="22"/>
  <c r="K62" i="22"/>
  <c r="B57" i="22"/>
  <c r="B58" i="22"/>
  <c r="B59" i="22"/>
  <c r="B60" i="22" s="1"/>
  <c r="Q30" i="22" l="1"/>
  <c r="Q36" i="22"/>
  <c r="Q23" i="22"/>
  <c r="Q35" i="22"/>
  <c r="Q22" i="22"/>
  <c r="Q34" i="22"/>
  <c r="Q21" i="22"/>
  <c r="Q33" i="22"/>
  <c r="Q20" i="22"/>
  <c r="Q32" i="22"/>
  <c r="Q24" i="22"/>
  <c r="Q3" i="22"/>
  <c r="Q31" i="22"/>
  <c r="Q19" i="22"/>
  <c r="Q29" i="22"/>
  <c r="Q18" i="22"/>
  <c r="Q28" i="22"/>
  <c r="Q10" i="22"/>
  <c r="Q9" i="22"/>
  <c r="Q7" i="22"/>
  <c r="P42" i="1"/>
  <c r="Q14" i="1"/>
  <c r="Q16" i="1"/>
  <c r="Q18" i="1"/>
  <c r="Q20" i="1"/>
  <c r="Q22" i="1"/>
  <c r="Q24" i="1"/>
  <c r="Q26" i="1"/>
  <c r="Q28" i="1"/>
  <c r="Q30" i="1"/>
  <c r="Q12" i="1"/>
  <c r="Q48" i="14"/>
  <c r="R48" i="14"/>
  <c r="S48" i="14"/>
  <c r="T48" i="14"/>
  <c r="U48" i="14"/>
  <c r="V48" i="14"/>
  <c r="W48" i="14"/>
  <c r="X48" i="14"/>
  <c r="Y48" i="14"/>
  <c r="P48" i="14"/>
  <c r="B10" i="8"/>
  <c r="C10" i="8"/>
  <c r="D10" i="8"/>
  <c r="E10" i="8"/>
  <c r="F10" i="8"/>
  <c r="G10" i="8"/>
  <c r="H10" i="8"/>
  <c r="I10" i="8"/>
  <c r="J10" i="8"/>
  <c r="A10" i="8"/>
  <c r="B2" i="8"/>
  <c r="C2" i="8"/>
  <c r="D2" i="8"/>
  <c r="E2" i="8"/>
  <c r="F2" i="8"/>
  <c r="G2" i="8"/>
  <c r="H2" i="8"/>
  <c r="I2" i="8"/>
  <c r="J2" i="8"/>
  <c r="B3" i="8"/>
  <c r="C3" i="8"/>
  <c r="D3" i="8"/>
  <c r="E3" i="8"/>
  <c r="F3" i="8"/>
  <c r="G3" i="8"/>
  <c r="H3" i="8"/>
  <c r="I3" i="8"/>
  <c r="J3" i="8"/>
  <c r="B4" i="8"/>
  <c r="C4" i="8"/>
  <c r="D4" i="8"/>
  <c r="E4" i="8"/>
  <c r="F4" i="8"/>
  <c r="G4" i="8"/>
  <c r="H4" i="8"/>
  <c r="I4" i="8"/>
  <c r="J4" i="8"/>
  <c r="B5" i="8"/>
  <c r="C5" i="8"/>
  <c r="D5" i="8"/>
  <c r="E5" i="8"/>
  <c r="F5" i="8"/>
  <c r="G5" i="8"/>
  <c r="H5" i="8"/>
  <c r="I5" i="8"/>
  <c r="J5" i="8"/>
  <c r="B6" i="8"/>
  <c r="C6" i="8"/>
  <c r="D6" i="8"/>
  <c r="E6" i="8"/>
  <c r="F6" i="8"/>
  <c r="G6" i="8"/>
  <c r="H6" i="8"/>
  <c r="I6" i="8"/>
  <c r="J6" i="8"/>
  <c r="B7" i="8"/>
  <c r="C7" i="8"/>
  <c r="D7" i="8"/>
  <c r="E7" i="8"/>
  <c r="F7" i="8"/>
  <c r="G7" i="8"/>
  <c r="H7" i="8"/>
  <c r="I7" i="8"/>
  <c r="J7" i="8"/>
  <c r="B8" i="8"/>
  <c r="C8" i="8"/>
  <c r="D8" i="8"/>
  <c r="E8" i="8"/>
  <c r="F8" i="8"/>
  <c r="G8" i="8"/>
  <c r="H8" i="8"/>
  <c r="I8" i="8"/>
  <c r="J8" i="8"/>
  <c r="B9" i="8"/>
  <c r="C9" i="8"/>
  <c r="D9" i="8"/>
  <c r="E9" i="8"/>
  <c r="F9" i="8"/>
  <c r="G9" i="8"/>
  <c r="H9" i="8"/>
  <c r="I9" i="8"/>
  <c r="J9" i="8"/>
  <c r="A9" i="8"/>
  <c r="A8" i="8"/>
  <c r="A7" i="8"/>
  <c r="A6" i="8"/>
  <c r="A5" i="8"/>
  <c r="A4" i="8"/>
  <c r="A3" i="8"/>
  <c r="A2" i="8"/>
  <c r="Q52" i="14" l="1"/>
  <c r="Q53" i="14" s="1"/>
  <c r="O52" i="14"/>
  <c r="O53" i="14" s="1"/>
  <c r="I1" i="8" l="1"/>
  <c r="G1" i="8"/>
  <c r="E1" i="8"/>
  <c r="H1" i="8"/>
  <c r="J1" i="8"/>
  <c r="A1" i="8"/>
  <c r="B1" i="8"/>
  <c r="D1" i="8"/>
  <c r="C1" i="8"/>
  <c r="F1" i="8"/>
  <c r="S53" i="14"/>
  <c r="A2" i="1" l="1"/>
  <c r="A32" i="1" l="1"/>
  <c r="B1" i="10" l="1"/>
  <c r="C1" i="10"/>
  <c r="D1" i="10"/>
  <c r="E1" i="10"/>
  <c r="F1" i="10"/>
  <c r="G1" i="10"/>
  <c r="H1" i="10"/>
  <c r="I1" i="10"/>
  <c r="J1" i="10"/>
  <c r="B2" i="10"/>
  <c r="C2" i="10"/>
  <c r="D2" i="10"/>
  <c r="E2" i="10"/>
  <c r="F2" i="10"/>
  <c r="G2" i="10"/>
  <c r="H2" i="10"/>
  <c r="I2" i="10"/>
  <c r="J2" i="10"/>
  <c r="B3" i="10"/>
  <c r="C3" i="10"/>
  <c r="D3" i="10"/>
  <c r="E3" i="10"/>
  <c r="F3" i="10"/>
  <c r="G3" i="10"/>
  <c r="H3" i="10"/>
  <c r="I3" i="10"/>
  <c r="J3" i="10"/>
  <c r="B5" i="10"/>
  <c r="C5" i="10"/>
  <c r="D5" i="10"/>
  <c r="E5" i="10"/>
  <c r="F5" i="10"/>
  <c r="G5" i="10"/>
  <c r="H5" i="10"/>
  <c r="I5" i="10"/>
  <c r="J5" i="10"/>
  <c r="B6" i="10"/>
  <c r="C6" i="10"/>
  <c r="D6" i="10"/>
  <c r="E6" i="10"/>
  <c r="F6" i="10"/>
  <c r="G6" i="10"/>
  <c r="H6" i="10"/>
  <c r="I6" i="10"/>
  <c r="J6" i="10"/>
  <c r="B7" i="10"/>
  <c r="C7" i="10"/>
  <c r="D7" i="10"/>
  <c r="E7" i="10"/>
  <c r="F7" i="10"/>
  <c r="G7" i="10"/>
  <c r="H7" i="10"/>
  <c r="I7" i="10"/>
  <c r="J7" i="10"/>
  <c r="B8" i="10"/>
  <c r="C8" i="10"/>
  <c r="D8" i="10"/>
  <c r="E8" i="10"/>
  <c r="F8" i="10"/>
  <c r="G8" i="10"/>
  <c r="H8" i="10"/>
  <c r="I8" i="10"/>
  <c r="J8" i="10"/>
  <c r="B9" i="10"/>
  <c r="C9" i="10"/>
  <c r="D9" i="10"/>
  <c r="E9" i="10"/>
  <c r="F9" i="10"/>
  <c r="G9" i="10"/>
  <c r="H9" i="10"/>
  <c r="I9" i="10"/>
  <c r="J9" i="10"/>
  <c r="B10" i="10"/>
  <c r="C10" i="10"/>
  <c r="D10" i="10"/>
  <c r="E10" i="10"/>
  <c r="F10" i="10"/>
  <c r="G10" i="10"/>
  <c r="H10" i="10"/>
  <c r="I10" i="10"/>
  <c r="J10" i="10"/>
  <c r="A10" i="10"/>
  <c r="A9" i="10"/>
  <c r="A8" i="10"/>
  <c r="A7" i="10"/>
  <c r="A6" i="10"/>
  <c r="A5" i="10"/>
  <c r="A3" i="10"/>
  <c r="A2" i="10"/>
  <c r="A20" i="10"/>
  <c r="B20" i="10"/>
  <c r="C20" i="10"/>
  <c r="D20" i="10"/>
  <c r="E20" i="10"/>
  <c r="F20" i="10"/>
  <c r="G20" i="10"/>
  <c r="H20" i="10"/>
  <c r="I20" i="10"/>
  <c r="J20" i="10"/>
  <c r="A21" i="10"/>
  <c r="B21" i="10"/>
  <c r="C21" i="10"/>
  <c r="D21" i="10"/>
  <c r="E21" i="10"/>
  <c r="F21" i="10"/>
  <c r="G21" i="10"/>
  <c r="H21" i="10"/>
  <c r="I21" i="10"/>
  <c r="J21" i="10"/>
  <c r="A22" i="10"/>
  <c r="B22" i="10"/>
  <c r="C22" i="10"/>
  <c r="D22" i="10"/>
  <c r="E22" i="10"/>
  <c r="F22" i="10"/>
  <c r="G22" i="10"/>
  <c r="H22" i="10"/>
  <c r="I22" i="10"/>
  <c r="J22" i="10"/>
  <c r="A1" i="10"/>
  <c r="B1" i="9" l="1"/>
  <c r="C1" i="9"/>
  <c r="D1" i="9"/>
  <c r="E1" i="9"/>
  <c r="F1" i="9"/>
  <c r="G1" i="9"/>
  <c r="H1" i="9"/>
  <c r="I1" i="9"/>
  <c r="J1" i="9"/>
  <c r="B2" i="9"/>
  <c r="C2" i="9"/>
  <c r="D2" i="9"/>
  <c r="E2" i="9"/>
  <c r="F2" i="9"/>
  <c r="G2" i="9"/>
  <c r="H2" i="9"/>
  <c r="I2" i="9"/>
  <c r="J2" i="9"/>
  <c r="B3" i="9"/>
  <c r="C3" i="9"/>
  <c r="D3" i="9"/>
  <c r="E3" i="9"/>
  <c r="F3" i="9"/>
  <c r="G3" i="9"/>
  <c r="H3" i="9"/>
  <c r="I3" i="9"/>
  <c r="J3" i="9"/>
  <c r="B4" i="9"/>
  <c r="C4" i="9"/>
  <c r="D4" i="9"/>
  <c r="E4" i="9"/>
  <c r="F4" i="9"/>
  <c r="G4" i="9"/>
  <c r="H4" i="9"/>
  <c r="I4" i="9"/>
  <c r="J4" i="9"/>
  <c r="B5" i="9"/>
  <c r="C5" i="9"/>
  <c r="D5" i="9"/>
  <c r="E5" i="9"/>
  <c r="F5" i="9"/>
  <c r="G5" i="9"/>
  <c r="H5" i="9"/>
  <c r="I5" i="9"/>
  <c r="J5" i="9"/>
  <c r="B6" i="9"/>
  <c r="C6" i="9"/>
  <c r="D6" i="9"/>
  <c r="E6" i="9"/>
  <c r="F6" i="9"/>
  <c r="G6" i="9"/>
  <c r="H6" i="9"/>
  <c r="I6" i="9"/>
  <c r="J6" i="9"/>
  <c r="B7" i="9"/>
  <c r="C7" i="9"/>
  <c r="D7" i="9"/>
  <c r="E7" i="9"/>
  <c r="F7" i="9"/>
  <c r="G7" i="9"/>
  <c r="H7" i="9"/>
  <c r="I7" i="9"/>
  <c r="J7" i="9"/>
  <c r="B8" i="9"/>
  <c r="C8" i="9"/>
  <c r="D8" i="9"/>
  <c r="E8" i="9"/>
  <c r="F8" i="9"/>
  <c r="G8" i="9"/>
  <c r="H8" i="9"/>
  <c r="I8" i="9"/>
  <c r="J8" i="9"/>
  <c r="B9" i="9"/>
  <c r="C9" i="9"/>
  <c r="D9" i="9"/>
  <c r="E9" i="9"/>
  <c r="F9" i="9"/>
  <c r="G9" i="9"/>
  <c r="H9" i="9"/>
  <c r="I9" i="9"/>
  <c r="J9" i="9"/>
  <c r="B10" i="9"/>
  <c r="C10" i="9"/>
  <c r="D10" i="9"/>
  <c r="E10" i="9"/>
  <c r="F10" i="9"/>
  <c r="G10" i="9"/>
  <c r="H10" i="9"/>
  <c r="I10" i="9"/>
  <c r="J10" i="9"/>
  <c r="A10" i="9"/>
  <c r="A9" i="9"/>
  <c r="A8" i="9"/>
  <c r="A7" i="9"/>
  <c r="A6" i="9"/>
  <c r="A5" i="9"/>
  <c r="A4" i="9"/>
  <c r="A3" i="9"/>
  <c r="A2" i="9"/>
  <c r="A1" i="9"/>
  <c r="J29" i="1"/>
  <c r="K29" i="1"/>
  <c r="L29" i="1"/>
  <c r="I29" i="1"/>
  <c r="M29" i="1"/>
  <c r="N29" i="1"/>
  <c r="H29" i="1"/>
  <c r="G29" i="1"/>
  <c r="O29" i="1"/>
  <c r="F29" i="1"/>
  <c r="G27" i="1"/>
  <c r="O27" i="1"/>
  <c r="H27" i="1"/>
  <c r="F27" i="1"/>
  <c r="I27" i="1"/>
  <c r="J27" i="1"/>
  <c r="K27" i="1"/>
  <c r="L27" i="1"/>
  <c r="M27" i="1"/>
  <c r="N27" i="1"/>
  <c r="M25" i="1"/>
  <c r="N25" i="1"/>
  <c r="H25" i="1"/>
  <c r="F25" i="1"/>
  <c r="I25" i="1"/>
  <c r="O25" i="1"/>
  <c r="J25" i="1"/>
  <c r="G25" i="1"/>
  <c r="K25" i="1"/>
  <c r="L25" i="1"/>
  <c r="K23" i="1"/>
  <c r="L23" i="1"/>
  <c r="M23" i="1"/>
  <c r="N23" i="1"/>
  <c r="G23" i="1"/>
  <c r="O23" i="1"/>
  <c r="H23" i="1"/>
  <c r="F23" i="1"/>
  <c r="J23" i="1"/>
  <c r="I23" i="1"/>
  <c r="N31" i="1"/>
  <c r="G31" i="1"/>
  <c r="O31" i="1"/>
  <c r="H31" i="1"/>
  <c r="F31" i="1"/>
  <c r="M31" i="1"/>
  <c r="K31" i="1"/>
  <c r="I31" i="1"/>
  <c r="L31" i="1"/>
  <c r="J31" i="1"/>
  <c r="N19" i="1"/>
  <c r="K19" i="1"/>
  <c r="J19" i="1"/>
  <c r="O17" i="1"/>
  <c r="G17" i="1"/>
  <c r="F19" i="1"/>
  <c r="O19" i="1"/>
  <c r="J17" i="1"/>
  <c r="I19" i="1"/>
  <c r="N17" i="1"/>
  <c r="H19" i="1"/>
  <c r="F17" i="1"/>
  <c r="L17" i="1"/>
  <c r="M19" i="1"/>
  <c r="K17" i="1"/>
  <c r="L19" i="1"/>
  <c r="H17" i="1"/>
  <c r="G19" i="1"/>
  <c r="I17" i="1"/>
  <c r="M17" i="1"/>
  <c r="D11" i="10" l="1"/>
  <c r="E11" i="10"/>
  <c r="A11" i="10"/>
  <c r="C11" i="10"/>
  <c r="J11" i="10"/>
  <c r="B11" i="10"/>
  <c r="I11" i="10"/>
  <c r="H11" i="10"/>
  <c r="G11" i="10"/>
  <c r="F11" i="10"/>
  <c r="B7" i="11"/>
  <c r="C7" i="11"/>
  <c r="D7" i="11"/>
  <c r="E7" i="11"/>
  <c r="F7" i="11"/>
  <c r="G7" i="11"/>
  <c r="H7" i="11"/>
  <c r="I7" i="11"/>
  <c r="J7" i="11"/>
  <c r="B8" i="11"/>
  <c r="C8" i="11"/>
  <c r="D8" i="11"/>
  <c r="E8" i="11"/>
  <c r="F8" i="11"/>
  <c r="G8" i="11"/>
  <c r="H8" i="11"/>
  <c r="I8" i="11"/>
  <c r="J8" i="11"/>
  <c r="B9" i="11"/>
  <c r="C9" i="11"/>
  <c r="D9" i="11"/>
  <c r="E9" i="11"/>
  <c r="F9" i="11"/>
  <c r="G9" i="11"/>
  <c r="H9" i="11"/>
  <c r="I9" i="11"/>
  <c r="J9" i="11"/>
  <c r="B10" i="11"/>
  <c r="C10" i="11"/>
  <c r="D10" i="11"/>
  <c r="E10" i="11"/>
  <c r="F10" i="11"/>
  <c r="G10" i="11"/>
  <c r="H10" i="11"/>
  <c r="I10" i="11"/>
  <c r="J10" i="11"/>
  <c r="A10" i="11"/>
  <c r="A9" i="11"/>
  <c r="A8" i="11"/>
  <c r="A7" i="11"/>
  <c r="B6" i="11"/>
  <c r="C6" i="11"/>
  <c r="D6" i="11"/>
  <c r="E6" i="11"/>
  <c r="F6" i="11"/>
  <c r="G6" i="11"/>
  <c r="H6" i="11"/>
  <c r="I6" i="11"/>
  <c r="J6" i="11"/>
  <c r="A6" i="11"/>
  <c r="B5" i="11"/>
  <c r="C5" i="11"/>
  <c r="D5" i="11"/>
  <c r="E5" i="11"/>
  <c r="F5" i="11"/>
  <c r="G5" i="11"/>
  <c r="H5" i="11"/>
  <c r="I5" i="11"/>
  <c r="J5" i="11"/>
  <c r="A5" i="11"/>
  <c r="B4" i="11"/>
  <c r="C4" i="11"/>
  <c r="D4" i="11"/>
  <c r="E4" i="11"/>
  <c r="F4" i="11"/>
  <c r="G4" i="11"/>
  <c r="H4" i="11"/>
  <c r="I4" i="11"/>
  <c r="J4" i="11"/>
  <c r="A4" i="11"/>
  <c r="B3" i="11"/>
  <c r="C3" i="11"/>
  <c r="D3" i="11"/>
  <c r="E3" i="11"/>
  <c r="F3" i="11"/>
  <c r="G3" i="11"/>
  <c r="H3" i="11"/>
  <c r="I3" i="11"/>
  <c r="J3" i="11"/>
  <c r="A3" i="11"/>
  <c r="B2" i="11"/>
  <c r="C2" i="11"/>
  <c r="D2" i="11"/>
  <c r="E2" i="11"/>
  <c r="F2" i="11"/>
  <c r="G2" i="11"/>
  <c r="H2" i="11"/>
  <c r="I2" i="11"/>
  <c r="J2" i="11"/>
  <c r="A2" i="11"/>
  <c r="B1" i="11"/>
  <c r="C1" i="11"/>
  <c r="D1" i="11"/>
  <c r="E1" i="11"/>
  <c r="F1" i="11"/>
  <c r="G1" i="11"/>
  <c r="H1" i="11"/>
  <c r="I1" i="11"/>
  <c r="J1" i="11"/>
  <c r="A1" i="11"/>
  <c r="B10" i="7"/>
  <c r="C10" i="7"/>
  <c r="D10" i="7"/>
  <c r="E10" i="7"/>
  <c r="F10" i="7"/>
  <c r="G10" i="7"/>
  <c r="H10" i="7"/>
  <c r="I10" i="7"/>
  <c r="J10" i="7"/>
  <c r="A10" i="7"/>
  <c r="B9" i="7"/>
  <c r="C9" i="7"/>
  <c r="D9" i="7"/>
  <c r="E9" i="7"/>
  <c r="F9" i="7"/>
  <c r="G9" i="7"/>
  <c r="H9" i="7"/>
  <c r="I9" i="7"/>
  <c r="J9" i="7"/>
  <c r="A9" i="7"/>
  <c r="B8" i="7"/>
  <c r="C8" i="7"/>
  <c r="D8" i="7"/>
  <c r="E8" i="7"/>
  <c r="F8" i="7"/>
  <c r="G8" i="7"/>
  <c r="H8" i="7"/>
  <c r="I8" i="7"/>
  <c r="J8" i="7"/>
  <c r="A8" i="7"/>
  <c r="B7" i="7"/>
  <c r="C7" i="7"/>
  <c r="D7" i="7"/>
  <c r="E7" i="7"/>
  <c r="F7" i="7"/>
  <c r="G7" i="7"/>
  <c r="H7" i="7"/>
  <c r="I7" i="7"/>
  <c r="J7" i="7"/>
  <c r="A7" i="7"/>
  <c r="B6" i="7"/>
  <c r="C6" i="7"/>
  <c r="D6" i="7"/>
  <c r="E6" i="7"/>
  <c r="F6" i="7"/>
  <c r="G6" i="7"/>
  <c r="H6" i="7"/>
  <c r="I6" i="7"/>
  <c r="J6" i="7"/>
  <c r="A6" i="7"/>
  <c r="B5" i="7"/>
  <c r="C5" i="7"/>
  <c r="D5" i="7"/>
  <c r="E5" i="7"/>
  <c r="F5" i="7"/>
  <c r="G5" i="7"/>
  <c r="H5" i="7"/>
  <c r="I5" i="7"/>
  <c r="J5" i="7"/>
  <c r="A5" i="7"/>
  <c r="B4" i="7"/>
  <c r="C4" i="7"/>
  <c r="D4" i="7"/>
  <c r="E4" i="7"/>
  <c r="F4" i="7"/>
  <c r="G4" i="7"/>
  <c r="H4" i="7"/>
  <c r="I4" i="7"/>
  <c r="J4" i="7"/>
  <c r="A4" i="7"/>
  <c r="B3" i="7"/>
  <c r="C3" i="7"/>
  <c r="D3" i="7"/>
  <c r="E3" i="7"/>
  <c r="F3" i="7"/>
  <c r="G3" i="7"/>
  <c r="H3" i="7"/>
  <c r="I3" i="7"/>
  <c r="J3" i="7"/>
  <c r="A3" i="7"/>
  <c r="B2" i="7"/>
  <c r="C2" i="7"/>
  <c r="D2" i="7"/>
  <c r="E2" i="7"/>
  <c r="F2" i="7"/>
  <c r="G2" i="7"/>
  <c r="H2" i="7"/>
  <c r="I2" i="7"/>
  <c r="J2" i="7"/>
  <c r="A2" i="7"/>
  <c r="B1" i="7"/>
  <c r="C1" i="7"/>
  <c r="D1" i="7"/>
  <c r="E1" i="7"/>
  <c r="F1" i="7"/>
  <c r="G1" i="7"/>
  <c r="H1" i="7"/>
  <c r="I1" i="7"/>
  <c r="J1" i="7"/>
  <c r="A1" i="7"/>
  <c r="B10" i="6"/>
  <c r="C10" i="6"/>
  <c r="D10" i="6"/>
  <c r="E10" i="6"/>
  <c r="F10" i="6"/>
  <c r="G10" i="6"/>
  <c r="H10" i="6"/>
  <c r="I10" i="6"/>
  <c r="J10" i="6"/>
  <c r="A10" i="6"/>
  <c r="B9" i="6"/>
  <c r="C9" i="6"/>
  <c r="D9" i="6"/>
  <c r="E9" i="6"/>
  <c r="F9" i="6"/>
  <c r="G9" i="6"/>
  <c r="H9" i="6"/>
  <c r="I9" i="6"/>
  <c r="J9" i="6"/>
  <c r="A9" i="6"/>
  <c r="B8" i="6"/>
  <c r="C8" i="6"/>
  <c r="D8" i="6"/>
  <c r="E8" i="6"/>
  <c r="F8" i="6"/>
  <c r="G8" i="6"/>
  <c r="H8" i="6"/>
  <c r="I8" i="6"/>
  <c r="J8" i="6"/>
  <c r="A8" i="6"/>
  <c r="B7" i="6"/>
  <c r="C7" i="6"/>
  <c r="D7" i="6"/>
  <c r="E7" i="6"/>
  <c r="F7" i="6"/>
  <c r="G7" i="6"/>
  <c r="H7" i="6"/>
  <c r="I7" i="6"/>
  <c r="J7" i="6"/>
  <c r="A7" i="6"/>
  <c r="B6" i="6"/>
  <c r="C6" i="6"/>
  <c r="D6" i="6"/>
  <c r="E6" i="6"/>
  <c r="F6" i="6"/>
  <c r="G6" i="6"/>
  <c r="H6" i="6"/>
  <c r="I6" i="6"/>
  <c r="J6" i="6"/>
  <c r="A6" i="6"/>
  <c r="B5" i="6"/>
  <c r="C5" i="6"/>
  <c r="D5" i="6"/>
  <c r="E5" i="6"/>
  <c r="F5" i="6"/>
  <c r="G5" i="6"/>
  <c r="H5" i="6"/>
  <c r="I5" i="6"/>
  <c r="J5" i="6"/>
  <c r="A5" i="6"/>
  <c r="B4" i="6"/>
  <c r="C4" i="6"/>
  <c r="D4" i="6"/>
  <c r="E4" i="6"/>
  <c r="F4" i="6"/>
  <c r="G4" i="6"/>
  <c r="H4" i="6"/>
  <c r="I4" i="6"/>
  <c r="J4" i="6"/>
  <c r="A4" i="6"/>
  <c r="B3" i="6"/>
  <c r="C3" i="6"/>
  <c r="D3" i="6"/>
  <c r="E3" i="6"/>
  <c r="F3" i="6"/>
  <c r="G3" i="6"/>
  <c r="H3" i="6"/>
  <c r="I3" i="6"/>
  <c r="J3" i="6"/>
  <c r="A3" i="6"/>
  <c r="B2" i="6"/>
  <c r="C2" i="6"/>
  <c r="D2" i="6"/>
  <c r="E2" i="6"/>
  <c r="F2" i="6"/>
  <c r="G2" i="6"/>
  <c r="H2" i="6"/>
  <c r="I2" i="6"/>
  <c r="J2" i="6"/>
  <c r="A2" i="6"/>
  <c r="B1" i="6"/>
  <c r="C1" i="6"/>
  <c r="D1" i="6"/>
  <c r="E1" i="6"/>
  <c r="F1" i="6"/>
  <c r="G1" i="6"/>
  <c r="H1" i="6"/>
  <c r="I1" i="6"/>
  <c r="J1" i="6"/>
  <c r="A1" i="6"/>
  <c r="K21" i="1"/>
  <c r="L21" i="1"/>
  <c r="M21" i="1"/>
  <c r="N21" i="1"/>
  <c r="G21" i="1"/>
  <c r="O21" i="1"/>
  <c r="H21" i="1"/>
  <c r="I21" i="1"/>
  <c r="J21" i="1"/>
  <c r="F21" i="1"/>
  <c r="L15" i="1"/>
  <c r="N15" i="1"/>
  <c r="H13" i="1"/>
  <c r="H15" i="1"/>
  <c r="M15" i="1"/>
  <c r="J13" i="1"/>
  <c r="M13" i="1"/>
  <c r="N13" i="1"/>
  <c r="J15" i="1"/>
  <c r="O15" i="1"/>
  <c r="F15" i="1"/>
  <c r="G13" i="1"/>
  <c r="O13" i="1"/>
  <c r="K13" i="1"/>
  <c r="G15" i="1"/>
  <c r="K15" i="1"/>
  <c r="F13" i="1"/>
  <c r="I13" i="1"/>
  <c r="L13" i="1"/>
  <c r="I15" i="1"/>
  <c r="O39" i="1" l="1"/>
  <c r="O14" i="22" s="1"/>
  <c r="N39" i="1"/>
  <c r="N14" i="22" s="1"/>
  <c r="M39" i="1"/>
  <c r="M14" i="22" s="1"/>
  <c r="L39" i="1"/>
  <c r="L14" i="22" s="1"/>
  <c r="K39" i="1"/>
  <c r="K14" i="22" s="1"/>
  <c r="I39" i="1"/>
  <c r="I14" i="22" s="1"/>
  <c r="J39" i="1"/>
  <c r="J14" i="22" s="1"/>
  <c r="H39" i="1"/>
  <c r="H14" i="22" s="1"/>
  <c r="G39" i="1"/>
  <c r="G14" i="22" s="1"/>
  <c r="F39" i="1"/>
  <c r="F14" i="22" s="1"/>
  <c r="B16" i="6"/>
  <c r="F16" i="6"/>
  <c r="J16" i="6"/>
  <c r="D16" i="6"/>
  <c r="A16" i="6"/>
  <c r="I16" i="6"/>
  <c r="C16" i="6"/>
  <c r="G16" i="6"/>
  <c r="H16" i="6"/>
  <c r="E16" i="6"/>
  <c r="F16" i="22" l="1"/>
  <c r="F15" i="22"/>
  <c r="G31" i="22"/>
  <c r="G20" i="22"/>
  <c r="G16" i="22"/>
  <c r="G36" i="22"/>
  <c r="G28" i="22"/>
  <c r="G13" i="22"/>
  <c r="G33" i="22"/>
  <c r="G22" i="22"/>
  <c r="G3" i="22"/>
  <c r="G19" i="22"/>
  <c r="G15" i="22"/>
  <c r="G17" i="22"/>
  <c r="G37" i="22"/>
  <c r="G29" i="22"/>
  <c r="G35" i="22"/>
  <c r="G12" i="22"/>
  <c r="G34" i="22"/>
  <c r="G32" i="22"/>
  <c r="G21" i="22"/>
  <c r="G23" i="22"/>
  <c r="G30" i="22"/>
  <c r="H36" i="22"/>
  <c r="H28" i="22"/>
  <c r="H13" i="22"/>
  <c r="H33" i="22"/>
  <c r="H22" i="22"/>
  <c r="H3" i="22"/>
  <c r="H31" i="22"/>
  <c r="H19" i="22"/>
  <c r="H15" i="22"/>
  <c r="H17" i="22"/>
  <c r="H23" i="22"/>
  <c r="H35" i="22"/>
  <c r="H12" i="22"/>
  <c r="H32" i="22"/>
  <c r="H21" i="22"/>
  <c r="H37" i="22"/>
  <c r="H29" i="22"/>
  <c r="H34" i="22"/>
  <c r="H16" i="22"/>
  <c r="H20" i="22"/>
  <c r="H30" i="22"/>
  <c r="J19" i="22"/>
  <c r="J15" i="22"/>
  <c r="J17" i="22"/>
  <c r="J28" i="22"/>
  <c r="J13" i="22"/>
  <c r="J35" i="22"/>
  <c r="J12" i="22"/>
  <c r="J36" i="22"/>
  <c r="J22" i="22"/>
  <c r="J32" i="22"/>
  <c r="J21" i="22"/>
  <c r="J33" i="22"/>
  <c r="J37" i="22"/>
  <c r="J29" i="22"/>
  <c r="J34" i="22"/>
  <c r="J23" i="22"/>
  <c r="J31" i="22"/>
  <c r="J20" i="22"/>
  <c r="J16" i="22"/>
  <c r="J3" i="22"/>
  <c r="J30" i="22"/>
  <c r="O31" i="22"/>
  <c r="O20" i="22"/>
  <c r="O16" i="22"/>
  <c r="O36" i="22"/>
  <c r="O28" i="22"/>
  <c r="O13" i="22"/>
  <c r="O34" i="22"/>
  <c r="O33" i="22"/>
  <c r="O22" i="22"/>
  <c r="O3" i="22"/>
  <c r="O37" i="22"/>
  <c r="O19" i="22"/>
  <c r="O15" i="22"/>
  <c r="O17" i="22"/>
  <c r="O35" i="22"/>
  <c r="O12" i="22"/>
  <c r="O23" i="22"/>
  <c r="O32" i="22"/>
  <c r="O21" i="22"/>
  <c r="O29" i="22"/>
  <c r="O30" i="22"/>
  <c r="I33" i="22"/>
  <c r="I22" i="22"/>
  <c r="I3" i="22"/>
  <c r="I20" i="22"/>
  <c r="I19" i="22"/>
  <c r="I15" i="22"/>
  <c r="I17" i="22"/>
  <c r="I35" i="22"/>
  <c r="I12" i="22"/>
  <c r="I16" i="22"/>
  <c r="I36" i="22"/>
  <c r="I32" i="22"/>
  <c r="I21" i="22"/>
  <c r="I37" i="22"/>
  <c r="I29" i="22"/>
  <c r="I31" i="22"/>
  <c r="I34" i="22"/>
  <c r="I23" i="22"/>
  <c r="I28" i="22"/>
  <c r="I13" i="22"/>
  <c r="I30" i="22"/>
  <c r="L32" i="22"/>
  <c r="L21" i="22"/>
  <c r="L37" i="22"/>
  <c r="L29" i="22"/>
  <c r="L34" i="22"/>
  <c r="L23" i="22"/>
  <c r="L17" i="22"/>
  <c r="L31" i="22"/>
  <c r="L20" i="22"/>
  <c r="L16" i="22"/>
  <c r="L19" i="22"/>
  <c r="L36" i="22"/>
  <c r="L28" i="22"/>
  <c r="L13" i="22"/>
  <c r="L15" i="22"/>
  <c r="L35" i="22"/>
  <c r="L33" i="22"/>
  <c r="L22" i="22"/>
  <c r="L3" i="22"/>
  <c r="L12" i="22"/>
  <c r="L30" i="22"/>
  <c r="M37" i="22"/>
  <c r="M29" i="22"/>
  <c r="M35" i="22"/>
  <c r="M34" i="22"/>
  <c r="M23" i="22"/>
  <c r="M31" i="22"/>
  <c r="M20" i="22"/>
  <c r="M16" i="22"/>
  <c r="M36" i="22"/>
  <c r="M28" i="22"/>
  <c r="M13" i="22"/>
  <c r="M33" i="22"/>
  <c r="M22" i="22"/>
  <c r="M3" i="22"/>
  <c r="M32" i="22"/>
  <c r="M19" i="22"/>
  <c r="M15" i="22"/>
  <c r="M17" i="22"/>
  <c r="M12" i="22"/>
  <c r="M21" i="22"/>
  <c r="M30" i="22"/>
  <c r="K35" i="22"/>
  <c r="K12" i="22"/>
  <c r="K32" i="22"/>
  <c r="K21" i="22"/>
  <c r="K37" i="22"/>
  <c r="K29" i="22"/>
  <c r="K34" i="22"/>
  <c r="K23" i="22"/>
  <c r="K31" i="22"/>
  <c r="K20" i="22"/>
  <c r="K16" i="22"/>
  <c r="K33" i="22"/>
  <c r="K22" i="22"/>
  <c r="K36" i="22"/>
  <c r="K28" i="22"/>
  <c r="K13" i="22"/>
  <c r="K3" i="22"/>
  <c r="K17" i="22"/>
  <c r="K15" i="22"/>
  <c r="K19" i="22"/>
  <c r="K30" i="22"/>
  <c r="F34" i="22"/>
  <c r="F23" i="22"/>
  <c r="F31" i="22"/>
  <c r="F20" i="22"/>
  <c r="F32" i="22"/>
  <c r="F36" i="22"/>
  <c r="F28" i="22"/>
  <c r="F13" i="22"/>
  <c r="F33" i="22"/>
  <c r="F22" i="22"/>
  <c r="F3" i="22"/>
  <c r="F29" i="22"/>
  <c r="F19" i="22"/>
  <c r="F17" i="22"/>
  <c r="F35" i="22"/>
  <c r="F12" i="22"/>
  <c r="F21" i="22"/>
  <c r="F37" i="22"/>
  <c r="F30" i="22"/>
  <c r="N34" i="22"/>
  <c r="N23" i="22"/>
  <c r="N32" i="22"/>
  <c r="N31" i="22"/>
  <c r="N20" i="22"/>
  <c r="N16" i="22"/>
  <c r="N21" i="22"/>
  <c r="N36" i="22"/>
  <c r="N28" i="22"/>
  <c r="N13" i="22"/>
  <c r="N29" i="22"/>
  <c r="N33" i="22"/>
  <c r="N22" i="22"/>
  <c r="N3" i="22"/>
  <c r="N37" i="22"/>
  <c r="N19" i="22"/>
  <c r="N15" i="22"/>
  <c r="N17" i="22"/>
  <c r="N35" i="22"/>
  <c r="N12" i="22"/>
  <c r="N30" i="22"/>
  <c r="H43" i="22" l="1"/>
  <c r="J42" i="22"/>
  <c r="L41" i="22"/>
  <c r="N40" i="22"/>
  <c r="F40" i="22"/>
  <c r="Q6" i="22"/>
  <c r="L42" i="22"/>
  <c r="O43" i="22"/>
  <c r="G43" i="22"/>
  <c r="I42" i="22"/>
  <c r="K41" i="22"/>
  <c r="M40" i="22"/>
  <c r="F41" i="22"/>
  <c r="I43" i="22"/>
  <c r="N43" i="22"/>
  <c r="F43" i="22"/>
  <c r="H42" i="22"/>
  <c r="J41" i="22"/>
  <c r="L40" i="22"/>
  <c r="Q17" i="22"/>
  <c r="J43" i="22"/>
  <c r="H40" i="22"/>
  <c r="Q11" i="22"/>
  <c r="Q4" i="22"/>
  <c r="G40" i="22"/>
  <c r="M43" i="22"/>
  <c r="O42" i="22"/>
  <c r="G42" i="22"/>
  <c r="I41" i="22"/>
  <c r="K40" i="22"/>
  <c r="Q12" i="22"/>
  <c r="Q5" i="22"/>
  <c r="N41" i="22"/>
  <c r="O40" i="22"/>
  <c r="L43" i="22"/>
  <c r="N42" i="22"/>
  <c r="F42" i="22"/>
  <c r="H41" i="22"/>
  <c r="J40" i="22"/>
  <c r="Q2" i="22"/>
  <c r="K42" i="22"/>
  <c r="K43" i="22"/>
  <c r="M42" i="22"/>
  <c r="O41" i="22"/>
  <c r="G41" i="22"/>
  <c r="I40" i="22"/>
  <c r="Q37" i="22"/>
  <c r="M41" i="22"/>
  <c r="Q8" i="22"/>
  <c r="H40" i="1"/>
  <c r="H2" i="22" s="1"/>
  <c r="F40" i="1"/>
  <c r="F2" i="22" s="1"/>
  <c r="I40" i="1"/>
  <c r="I2" i="22" s="1"/>
  <c r="M40" i="1"/>
  <c r="M2" i="22" s="1"/>
  <c r="J40" i="1"/>
  <c r="J2" i="22" s="1"/>
  <c r="N40" i="1"/>
  <c r="N2" i="22" s="1"/>
  <c r="K40" i="1"/>
  <c r="K2" i="22" s="1"/>
  <c r="O40" i="1"/>
  <c r="L40" i="1"/>
  <c r="L2" i="22" s="1"/>
  <c r="G40" i="1"/>
  <c r="G2" i="22" s="1"/>
  <c r="O41" i="1" l="1"/>
  <c r="O2" i="22"/>
  <c r="Q42" i="22"/>
  <c r="Q43" i="22"/>
  <c r="Q41" i="22"/>
  <c r="Q39" i="22"/>
  <c r="Q40" i="22"/>
  <c r="Q26" i="22"/>
  <c r="Q25" i="22"/>
  <c r="Q27" i="22"/>
  <c r="Q38" i="22"/>
  <c r="N11" i="22"/>
  <c r="N41" i="1"/>
  <c r="J4" i="22"/>
  <c r="J41" i="1"/>
  <c r="M4" i="22"/>
  <c r="M41" i="1"/>
  <c r="G4" i="22"/>
  <c r="G41" i="1"/>
  <c r="I5" i="22"/>
  <c r="I41" i="1"/>
  <c r="L8" i="22"/>
  <c r="L41" i="1"/>
  <c r="H5" i="22"/>
  <c r="H41" i="1"/>
  <c r="K5" i="22"/>
  <c r="K41" i="1"/>
  <c r="F18" i="22"/>
  <c r="F41" i="1"/>
  <c r="H8" i="22"/>
  <c r="I4" i="22"/>
  <c r="F4" i="22"/>
  <c r="F11" i="22"/>
  <c r="L5" i="22"/>
  <c r="I8" i="22"/>
  <c r="L11" i="22"/>
  <c r="M27" i="22"/>
  <c r="H18" i="22"/>
  <c r="G25" i="22"/>
  <c r="L38" i="22"/>
  <c r="J5" i="22"/>
  <c r="L26" i="22"/>
  <c r="G11" i="22"/>
  <c r="M8" i="22"/>
  <c r="M38" i="22"/>
  <c r="I18" i="22"/>
  <c r="N9" i="22"/>
  <c r="N10" i="22"/>
  <c r="N7" i="22"/>
  <c r="H4" i="22"/>
  <c r="M25" i="22"/>
  <c r="O38" i="22"/>
  <c r="K18" i="22"/>
  <c r="G6" i="22"/>
  <c r="M26" i="22"/>
  <c r="N4" i="22"/>
  <c r="M18" i="22"/>
  <c r="O10" i="22"/>
  <c r="O7" i="22"/>
  <c r="O9" i="22"/>
  <c r="L25" i="22"/>
  <c r="J9" i="22"/>
  <c r="J7" i="22"/>
  <c r="J10" i="22"/>
  <c r="F5" i="22"/>
  <c r="I26" i="22"/>
  <c r="H11" i="22"/>
  <c r="G5" i="22"/>
  <c r="J26" i="22"/>
  <c r="J18" i="22"/>
  <c r="L4" i="22"/>
  <c r="K25" i="22"/>
  <c r="O6" i="22"/>
  <c r="J27" i="22"/>
  <c r="L77" i="22"/>
  <c r="I25" i="22"/>
  <c r="N77" i="22"/>
  <c r="J77" i="22"/>
  <c r="H38" i="22"/>
  <c r="K9" i="22"/>
  <c r="K7" i="22"/>
  <c r="K10" i="22"/>
  <c r="G38" i="22"/>
  <c r="N18" i="22"/>
  <c r="N5" i="22"/>
  <c r="G18" i="22"/>
  <c r="O5" i="22"/>
  <c r="G27" i="22"/>
  <c r="K4" i="22"/>
  <c r="F25" i="22"/>
  <c r="F8" i="22"/>
  <c r="L27" i="22"/>
  <c r="H6" i="22"/>
  <c r="F26" i="22"/>
  <c r="O26" i="22"/>
  <c r="N38" i="22"/>
  <c r="K11" i="22"/>
  <c r="O11" i="22"/>
  <c r="M7" i="22"/>
  <c r="M10" i="22"/>
  <c r="M9" i="22"/>
  <c r="K38" i="22"/>
  <c r="F27" i="22"/>
  <c r="I10" i="22"/>
  <c r="I9" i="22"/>
  <c r="I7" i="22"/>
  <c r="I6" i="22"/>
  <c r="K6" i="22"/>
  <c r="N27" i="22"/>
  <c r="H26" i="22"/>
  <c r="L6" i="22"/>
  <c r="O27" i="22"/>
  <c r="N25" i="22"/>
  <c r="J6" i="22"/>
  <c r="F6" i="22"/>
  <c r="O25" i="22"/>
  <c r="N8" i="22"/>
  <c r="I38" i="22"/>
  <c r="N26" i="22"/>
  <c r="H25" i="22"/>
  <c r="G7" i="22"/>
  <c r="G10" i="22"/>
  <c r="G9" i="22"/>
  <c r="H39" i="22"/>
  <c r="O39" i="22"/>
  <c r="G39" i="22"/>
  <c r="N39" i="22"/>
  <c r="F39" i="22"/>
  <c r="M39" i="22"/>
  <c r="F10" i="22"/>
  <c r="L39" i="22"/>
  <c r="J39" i="22"/>
  <c r="F9" i="22"/>
  <c r="I39" i="22"/>
  <c r="K39" i="22"/>
  <c r="F7" i="22"/>
  <c r="F77" i="22"/>
  <c r="J8" i="22"/>
  <c r="H77" i="22"/>
  <c r="K8" i="22"/>
  <c r="I77" i="22"/>
  <c r="K26" i="22"/>
  <c r="N6" i="22"/>
  <c r="K77" i="22"/>
  <c r="M11" i="22"/>
  <c r="G8" i="22"/>
  <c r="K27" i="22"/>
  <c r="O4" i="22"/>
  <c r="J38" i="22"/>
  <c r="L9" i="22"/>
  <c r="L7" i="22"/>
  <c r="L10" i="22"/>
  <c r="H10" i="22"/>
  <c r="H9" i="22"/>
  <c r="H7" i="22"/>
  <c r="M5" i="22"/>
  <c r="I11" i="22"/>
  <c r="J25" i="22"/>
  <c r="G77" i="22"/>
  <c r="J11" i="22"/>
  <c r="F38" i="22"/>
  <c r="M6" i="22"/>
  <c r="H27" i="22"/>
  <c r="O18" i="22"/>
  <c r="I27" i="22"/>
  <c r="G26" i="22"/>
  <c r="L18" i="22"/>
  <c r="O77" i="22"/>
  <c r="O8" i="22"/>
  <c r="M77" i="22"/>
  <c r="W9" i="14"/>
  <c r="Z9" i="14"/>
  <c r="V9" i="14"/>
  <c r="X9" i="14"/>
  <c r="Y9" i="14"/>
  <c r="U9" i="14"/>
  <c r="S9" i="14"/>
  <c r="R9" i="14"/>
  <c r="T9" i="14"/>
  <c r="Q9" i="14"/>
  <c r="G80" i="22" l="1"/>
  <c r="G78" i="22"/>
  <c r="G79" i="22" s="1"/>
  <c r="G24" i="22" s="1"/>
  <c r="F80" i="22"/>
  <c r="F78" i="22"/>
  <c r="F79" i="22" s="1"/>
  <c r="F24" i="22" s="1"/>
  <c r="O80" i="22"/>
  <c r="O78" i="22"/>
  <c r="O79" i="22" s="1"/>
  <c r="O24" i="22" s="1"/>
  <c r="K78" i="22"/>
  <c r="K79" i="22" s="1"/>
  <c r="K24" i="22" s="1"/>
  <c r="K80" i="22"/>
  <c r="I78" i="22"/>
  <c r="I79" i="22" s="1"/>
  <c r="I24" i="22" s="1"/>
  <c r="I80" i="22"/>
  <c r="J78" i="22"/>
  <c r="J79" i="22" s="1"/>
  <c r="J24" i="22" s="1"/>
  <c r="J80" i="22"/>
  <c r="L80" i="22"/>
  <c r="L78" i="22"/>
  <c r="L79" i="22" s="1"/>
  <c r="L24" i="22" s="1"/>
  <c r="M78" i="22"/>
  <c r="M79" i="22" s="1"/>
  <c r="M24" i="22" s="1"/>
  <c r="M80" i="22"/>
  <c r="N80" i="22"/>
  <c r="N78" i="22"/>
  <c r="N79" i="22" s="1"/>
  <c r="N24" i="22" s="1"/>
  <c r="H80" i="22"/>
  <c r="H78" i="22"/>
  <c r="H79" i="22" s="1"/>
  <c r="H24" i="22" s="1"/>
  <c r="O35" i="1" l="1"/>
  <c r="O36" i="1" s="1"/>
  <c r="M35" i="1"/>
  <c r="M36" i="1" s="1"/>
  <c r="G35" i="1"/>
  <c r="G36" i="1" s="1"/>
  <c r="K35" i="1"/>
  <c r="K36" i="1" s="1"/>
  <c r="N35" i="1"/>
  <c r="N36" i="1" s="1"/>
  <c r="H35" i="1"/>
  <c r="H36" i="1" s="1"/>
  <c r="I35" i="1"/>
  <c r="I36" i="1" s="1"/>
  <c r="L35" i="1"/>
  <c r="L36" i="1" s="1"/>
  <c r="J35" i="1"/>
  <c r="E23" i="10" s="1"/>
  <c r="F35" i="1"/>
  <c r="F36" i="1" l="1"/>
  <c r="B67" i="22"/>
  <c r="C67" i="22" s="1"/>
  <c r="J23" i="10"/>
  <c r="H23" i="10"/>
  <c r="B23" i="10"/>
  <c r="C23" i="10"/>
  <c r="J36" i="1"/>
  <c r="D23" i="10"/>
  <c r="I23" i="10"/>
  <c r="G23" i="10"/>
  <c r="F23" i="10"/>
  <c r="A23" i="10"/>
  <c r="G7" i="1"/>
  <c r="D12" i="4" s="1"/>
  <c r="F7" i="1"/>
  <c r="B4" i="4" s="1"/>
  <c r="H7" i="1"/>
  <c r="F3" i="4" s="1"/>
  <c r="L5" i="1"/>
  <c r="I5" i="1"/>
  <c r="K5" i="1"/>
  <c r="M6" i="1"/>
  <c r="B32" i="1"/>
  <c r="J5" i="1"/>
  <c r="F38" i="1"/>
  <c r="N5" i="1"/>
  <c r="B33" i="1"/>
  <c r="L6" i="1"/>
  <c r="B2" i="1"/>
  <c r="B34" i="1"/>
  <c r="B3" i="1"/>
  <c r="M5" i="1"/>
  <c r="D42" i="1"/>
  <c r="H42" i="1" s="1"/>
  <c r="A72" i="22"/>
  <c r="A10" i="1" s="1"/>
  <c r="Q39" i="1"/>
  <c r="D39" i="1" s="1"/>
  <c r="G42" i="1" l="1"/>
  <c r="F42" i="1"/>
  <c r="D43" i="1"/>
  <c r="N42" i="1"/>
  <c r="J42" i="1"/>
  <c r="K42" i="1"/>
  <c r="M42" i="1"/>
  <c r="I42" i="1"/>
  <c r="O42" i="1"/>
  <c r="L42" i="1"/>
  <c r="J43" i="1" l="1"/>
  <c r="N43" i="1"/>
  <c r="I43" i="1"/>
  <c r="O43" i="1"/>
  <c r="G43" i="1"/>
  <c r="F43" i="1"/>
  <c r="M43" i="1"/>
  <c r="K43" i="1"/>
  <c r="L43" i="1"/>
  <c r="H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Gediminas Golcevas</author>
  </authors>
  <commentList>
    <comment ref="C19" authorId="0" shapeId="0" xr:uid="{A6A09E91-5541-442D-9DE7-E40FD1EDDE10}">
      <text>
        <r>
          <rPr>
            <sz val="9"/>
            <color indexed="81"/>
            <rFont val="Tahoma"/>
            <family val="2"/>
          </rPr>
          <t xml:space="preserve">Papildomos informacijos </t>
        </r>
        <r>
          <rPr>
            <b/>
            <sz val="9"/>
            <color indexed="81"/>
            <rFont val="Tahoma"/>
            <family val="2"/>
          </rPr>
          <t>pavyzdys.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Gediminas Golcevas</author>
  </authors>
  <commentList>
    <comment ref="F2" authorId="0" shapeId="0" xr:uid="{3D60DA4E-4E3D-4C79-8727-B11DC0D3D781}">
      <text>
        <r>
          <rPr>
            <sz val="9"/>
            <color indexed="81"/>
            <rFont val="Tahoma"/>
            <family val="2"/>
          </rPr>
          <t xml:space="preserve">R - Reliatyvi (santykinė) formulė. Pasiūlymo balas priklauso ir nuo kitų pasiūlymų vertinimo.
A- Absoliutinė formulė. Pasiūlymo balas nėra susijęs su kitų pasiūlymų vertinimu. 
</t>
        </r>
      </text>
    </comment>
    <comment ref="G2" authorId="0" shapeId="0" xr:uid="{8973BEF7-2066-4C49-A5A0-B2DB873B61E1}">
      <text>
        <r>
          <rPr>
            <b/>
            <sz val="9"/>
            <color indexed="81"/>
            <rFont val="Tahoma"/>
            <family val="2"/>
          </rPr>
          <t xml:space="preserve">Abejingumo (indiferencijos) kreivės pobūdis. 
Rodo, kiek daugiau sutinkama mokėti už papildomą kokybę
Įstriža linija / - už papildomą kokybės vienetą sutinkama mokėti proporcingai daugiau (pvz. už papildomus 5 proc. kokybės, mokama papildomai 5% daugiau, už papildomus 10 % kokybės mokama papildomai 10% daugiau)
Išlenkta viršuje </t>
        </r>
        <r>
          <rPr>
            <b/>
            <i/>
            <sz val="9"/>
            <color indexed="81"/>
            <rFont val="Tahoma"/>
            <family val="2"/>
          </rPr>
          <t>(</t>
        </r>
        <r>
          <rPr>
            <b/>
            <sz val="9"/>
            <color indexed="81"/>
            <rFont val="Tahoma"/>
            <family val="2"/>
          </rPr>
          <t xml:space="preserve"> - vis didesnė kokybė lemia vis didesnį kainos padidėjimą (pvz. už papildomus 5% kokybės mokama 5% daugiau, tačiau už papildomus 10% kokybės sutinkama mokėti jau 15 % daugiau)
Išlenkta apačioje </t>
        </r>
        <r>
          <rPr>
            <b/>
            <i/>
            <sz val="9"/>
            <color indexed="81"/>
            <rFont val="Tahoma"/>
            <family val="2"/>
          </rPr>
          <t xml:space="preserve">) </t>
        </r>
        <r>
          <rPr>
            <b/>
            <sz val="9"/>
            <color indexed="81"/>
            <rFont val="Tahoma"/>
            <family val="2"/>
          </rPr>
          <t xml:space="preserve">- vis didesnė kokybė lemia vis mažesnį kainos padidėjimą (pvz. už papildomus 10% kokybės mokama 10% daugiau, tačiau už papildomus 20% kokybės sutinkama mokėti jau tik 15 % daugiau)
Jeigu vienu metu vaizduojamos visos trys linijos </t>
        </r>
        <r>
          <rPr>
            <b/>
            <i/>
            <sz val="9"/>
            <color indexed="81"/>
            <rFont val="Tahoma"/>
            <family val="2"/>
          </rPr>
          <t>)</t>
        </r>
        <r>
          <rPr>
            <b/>
            <sz val="9"/>
            <color indexed="81"/>
            <rFont val="Tahoma"/>
            <family val="2"/>
          </rPr>
          <t>/</t>
        </r>
        <r>
          <rPr>
            <b/>
            <i/>
            <sz val="9"/>
            <color indexed="81"/>
            <rFont val="Tahoma"/>
            <family val="2"/>
          </rPr>
          <t>(</t>
        </r>
        <r>
          <rPr>
            <b/>
            <sz val="9"/>
            <color indexed="81"/>
            <rFont val="Tahoma"/>
            <family val="2"/>
          </rPr>
          <t>, tai reiškia, kad formulė gali pasiekti bet kokį iš aukščiau nurodytų rezultatą, tačiau tai priklauso nuo iš anksto pasirinkto formulės kintamojo "n" reikšmės. 
Analogiškos formos aukščiau nurodytų kreivių su tuščiais tarpais (punktyru) reiškia, kad kreivė nėra nuosekli.
S formos kreivė (sigmoidė) reiškia, kad už pirmuosius kokybės balus noras mokėti kyla lėtai, už tolimesnius kokybės balus noras mokėti kyla staigiai, už paskutiniuosius kokybės balus noras mokėti vėl mažėja. 
N/A simbolis reiškia, kad kreivės nupiešti neįmanoma.</t>
        </r>
      </text>
    </comment>
    <comment ref="L2" authorId="0" shapeId="0" xr:uid="{88D46FD5-4E65-4207-BB6B-8A2AE9AFF156}">
      <text>
        <r>
          <rPr>
            <b/>
            <sz val="9"/>
            <color indexed="81"/>
            <rFont val="Tahoma"/>
            <family val="2"/>
          </rPr>
          <t>Rikiavimo paradokso pasireiškimo dažnis</t>
        </r>
      </text>
    </comment>
    <comment ref="M2" authorId="0" shapeId="0" xr:uid="{AA6870E7-A92E-4BB5-BCE5-1370BB7C8EAD}">
      <text>
        <r>
          <rPr>
            <b/>
            <sz val="9"/>
            <color indexed="81"/>
            <rFont val="Tahoma"/>
            <family val="2"/>
          </rPr>
          <t>Rikiavimo paradokso, keičiančio laimėtoją, pasireiškimo dažnis</t>
        </r>
      </text>
    </comment>
    <comment ref="N2" authorId="0" shapeId="0" xr:uid="{560D36D0-1F85-4C8E-8D9A-4D9B2F762D75}">
      <text>
        <r>
          <rPr>
            <b/>
            <sz val="9"/>
            <color indexed="81"/>
            <rFont val="Tahoma"/>
            <family val="2"/>
          </rPr>
          <t>Sakoma, kad ekonominis rezultatas yra Pareto optimalus, jeigu neįmanoma situacija, kad tiekėjas yra geresnėje pozicijoje, tuo pačiu nepablogindamas kito tiekėjo pozicijos. 
Jeigu pagal formulę eilėje pirmuoju įrašomas tiekėjas, nors buvo ir kito tiekėjo pasiūlymas, kuris buvo ir didesnės kokybės ir mažesnės kainos, tokia formulė negali būti pripažįstama kaip Pareto optimali.</t>
        </r>
      </text>
    </comment>
    <comment ref="G5" authorId="0" shapeId="0" xr:uid="{D73FB0F2-4C76-431C-8725-E060C3394A4D}">
      <text>
        <r>
          <rPr>
            <b/>
            <sz val="9"/>
            <color indexed="81"/>
            <rFont val="Tahoma"/>
            <family val="2"/>
          </rPr>
          <t>Pagal Przemyslaw Stanislaw Stilger (2011)</t>
        </r>
      </text>
    </comment>
    <comment ref="I5" authorId="0" shapeId="0" xr:uid="{ADB6D439-0197-4CD1-ADE6-9D6C714307A4}">
      <text>
        <r>
          <rPr>
            <sz val="9"/>
            <color indexed="81"/>
            <rFont val="Tahoma"/>
            <family val="2"/>
          </rPr>
          <t xml:space="preserve">Pagal Przemyslaw Stanislaw Stilger (2011)
</t>
        </r>
      </text>
    </comment>
    <comment ref="J5" authorId="0" shapeId="0" xr:uid="{383E3D64-6512-4D91-B3F3-E04C91D5ECC5}">
      <text>
        <r>
          <rPr>
            <sz val="9"/>
            <color indexed="81"/>
            <rFont val="Tahoma"/>
            <family val="2"/>
          </rPr>
          <t>Pagal Przemyslaw Stanislaw Stilger (2011</t>
        </r>
        <r>
          <rPr>
            <b/>
            <sz val="9"/>
            <color indexed="81"/>
            <rFont val="Tahoma"/>
            <family val="2"/>
          </rPr>
          <t>)</t>
        </r>
        <r>
          <rPr>
            <sz val="9"/>
            <color indexed="81"/>
            <rFont val="Tahoma"/>
            <family val="2"/>
          </rPr>
          <t xml:space="preserve">
</t>
        </r>
      </text>
    </comment>
    <comment ref="K5" authorId="0" shapeId="0" xr:uid="{A55C6E7A-A33B-46AB-B07D-20EB40BE1435}">
      <text>
        <r>
          <rPr>
            <sz val="9"/>
            <color indexed="81"/>
            <rFont val="Tahoma"/>
            <family val="2"/>
          </rPr>
          <t>Pagal Przemyslaw Stanislaw Stilger (2011)</t>
        </r>
      </text>
    </comment>
    <comment ref="L5" authorId="0" shapeId="0" xr:uid="{80B20F6F-A5F9-4F4E-A820-EBFE2E319329}">
      <text>
        <r>
          <rPr>
            <sz val="9"/>
            <color indexed="81"/>
            <rFont val="Tahoma"/>
            <family val="2"/>
          </rPr>
          <t>Pagal Przemyslaw Stanislaw Stilger (2011)</t>
        </r>
      </text>
    </comment>
    <comment ref="M5" authorId="0" shapeId="0" xr:uid="{CB967F48-E0E4-4D7C-934C-5F6B669484B4}">
      <text>
        <r>
          <rPr>
            <sz val="9"/>
            <color indexed="81"/>
            <rFont val="Tahoma"/>
            <family val="2"/>
          </rPr>
          <t>Pagal Przemyslaw Stanislaw Stilger (2011)</t>
        </r>
      </text>
    </comment>
    <comment ref="N5" authorId="0" shapeId="0" xr:uid="{049484A9-7357-4965-896C-191212C07A3F}">
      <text>
        <r>
          <rPr>
            <sz val="9"/>
            <color indexed="81"/>
            <rFont val="Tahoma"/>
            <family val="2"/>
          </rPr>
          <t>Pagal Przemyslaw Stanislaw Stilger (2011)</t>
        </r>
      </text>
    </comment>
    <comment ref="G6" authorId="0" shapeId="0" xr:uid="{A2C50430-ED05-413A-8827-E3ECFD7EBF68}">
      <text>
        <r>
          <rPr>
            <b/>
            <sz val="9"/>
            <color indexed="81"/>
            <rFont val="Tahoma"/>
            <family val="2"/>
          </rPr>
          <t>Pagal Przemyslaw S. Stilger, Jan Siderius and Erik M. Van Raaij (2017)</t>
        </r>
      </text>
    </comment>
    <comment ref="L6" authorId="0" shapeId="0" xr:uid="{BB31FDD0-6214-455A-95CA-32D6E8D7A558}">
      <text>
        <r>
          <rPr>
            <sz val="9"/>
            <color indexed="81"/>
            <rFont val="Tahoma"/>
            <family val="2"/>
          </rPr>
          <t xml:space="preserve">Pagal Przemyslaw S. Stilger, Jan Siderius and Erik M. Van Raaij (2017)
</t>
        </r>
      </text>
    </comment>
    <comment ref="M6" authorId="0" shapeId="0" xr:uid="{E1D9026D-067B-4CD5-BF8C-F33781728AA8}">
      <text>
        <r>
          <rPr>
            <sz val="9"/>
            <color indexed="81"/>
            <rFont val="Tahoma"/>
            <family val="2"/>
          </rPr>
          <t>Pagal Przemyslaw S. Stilger, Jan Siderius and Erik M. Van Raaij (2017)</t>
        </r>
        <r>
          <rPr>
            <b/>
            <sz val="9"/>
            <color indexed="81"/>
            <rFont val="Tahoma"/>
            <family val="2"/>
          </rPr>
          <t xml:space="preserve">
</t>
        </r>
        <r>
          <rPr>
            <sz val="9"/>
            <color indexed="81"/>
            <rFont val="Tahoma"/>
            <family val="2"/>
          </rPr>
          <t xml:space="preserve">
</t>
        </r>
      </text>
    </comment>
    <comment ref="D11" authorId="0" shapeId="0" xr:uid="{CCCC5AD2-755E-43CA-8ACC-0C0697D25E0E}">
      <text>
        <r>
          <rPr>
            <b/>
            <sz val="9"/>
            <color indexed="81"/>
            <rFont val="Tahoma"/>
            <family val="2"/>
          </rPr>
          <t>Psetmin</t>
        </r>
      </text>
    </comment>
    <comment ref="E11" authorId="0" shapeId="0" xr:uid="{93BF547D-DE48-4FBE-A400-99092F066004}">
      <text>
        <r>
          <rPr>
            <b/>
            <sz val="9"/>
            <color indexed="81"/>
            <rFont val="Tahoma"/>
            <family val="2"/>
          </rPr>
          <t>Psetmax</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56E7D49-5718-4AF0-BABF-D0DE9F8E575B}" keepAlive="1" name="Query - version" description="Connection to the 'version' query in the workbook." type="5" refreshedVersion="6" background="1" saveData="1">
    <dbPr connection="Provider=Microsoft.Mashup.OleDb.1;Data Source=$Workbook$;Location=version;Extended Properties=&quot;&quot;" command="SELECT * FROM [version]"/>
  </connection>
  <connection id="2" xr16:uid="{0248B2BD-08C9-42AA-9515-A30E64992229}" keepAlive="1" name="Query - version (2)" description="Connection to the 'version (2)' query in the workbook." type="5" refreshedVersion="6" background="1" refreshOnLoad="1" saveData="1">
    <dbPr connection="Provider=Microsoft.Mashup.OleDb.1;Data Source=$Workbook$;Location=&quot;version (2)&quot;;Extended Properties=&quot;&quot;" command="SELECT * FROM [version (2)]"/>
  </connection>
</connections>
</file>

<file path=xl/sharedStrings.xml><?xml version="1.0" encoding="utf-8"?>
<sst xmlns="http://schemas.openxmlformats.org/spreadsheetml/2006/main" count="946" uniqueCount="778">
  <si>
    <t>Laukelis pagal pasirinktą formulę nenaudojamas skaičiavimams net jeigu ir užpildytas</t>
  </si>
  <si>
    <t>Laukelis pagal pasirinktą formulę naudojamas skaičiavimams, bet neužpildytas</t>
  </si>
  <si>
    <t>Šiuose langeliuose galima pasirinkti formulę</t>
  </si>
  <si>
    <t>Laukelis pagal pasirinktą formulę naudojamas skaičiavimams, užpildytas</t>
  </si>
  <si>
    <t>Laimėjusio pasiūlymo balas. Atkreiptinas dėmesys, kad kai kuriose formulėse tai bus ne didžiausias, o mažiausias skaičius</t>
  </si>
  <si>
    <t xml:space="preserve">Kokybinio parametro nurodyta balų vertė viršija maksimalią galimą reikšmę (formulėse, naudojančiose svorius – to kriterijaus svorį). </t>
  </si>
  <si>
    <t>Raudonas langelio kampas reiškia, kad privedus pelės žymeklį bus rodoma papildoma informacija</t>
  </si>
  <si>
    <t xml:space="preserve">Tarpiniai skaičiavimai, tarpiniai balai. Nepildomas laukelis. </t>
  </si>
  <si>
    <t>Nepasirinkta kokybės kriterijaus vertinimo tvarka, nors yra užpildytas langelis šio laukelio kairėje</t>
  </si>
  <si>
    <t>Dėmesio! Norint naudotis visomis skaičiuoklės funkcijomis, būtina patvirtinti „excel“ programos rodomus įspėjimus.</t>
  </si>
  <si>
    <t>Jeigu matote žemiau pavaizduotą pranešimą, reiškia įjungę skaičiuoklę nespustelėjote aukščiau parodytų mygtukų. Atidarykite skaičiuoklę pakartotinai.</t>
  </si>
  <si>
    <t>Column1</t>
  </si>
  <si>
    <t>Versija 1.00, 2021-02-19</t>
  </si>
  <si>
    <t>peržiūrėti negometrix</t>
  </si>
  <si>
    <t>chen klaida, gal antroje dalyje aukštyn kojom.</t>
  </si>
  <si>
    <t>2011 m.</t>
  </si>
  <si>
    <t>2017 m.</t>
  </si>
  <si>
    <t>Kriterijus</t>
  </si>
  <si>
    <t>Formulė</t>
  </si>
  <si>
    <t>Min</t>
  </si>
  <si>
    <t>Max</t>
  </si>
  <si>
    <t>Tiekėjas 1</t>
  </si>
  <si>
    <t>Tiekėjas 2</t>
  </si>
  <si>
    <t>Tiekėjas 3</t>
  </si>
  <si>
    <t>Tiekėjas 4</t>
  </si>
  <si>
    <t>Tiekėjas 5</t>
  </si>
  <si>
    <t>Tiekėjas 6</t>
  </si>
  <si>
    <t>Tiekėjas 7</t>
  </si>
  <si>
    <t>Tiekėjas 8</t>
  </si>
  <si>
    <t>Tiekėjas 9</t>
  </si>
  <si>
    <t>Tiekėjas 10</t>
  </si>
  <si>
    <t>Kaina</t>
  </si>
  <si>
    <t>1.2. Telgen  (Absoliutinė)</t>
  </si>
  <si>
    <t>Tiekėjo papildomai siūlomas duomenų bazių specialistas</t>
  </si>
  <si>
    <t>Tiesioginis balų suteikimas</t>
  </si>
  <si>
    <t xml:space="preserve"> Tiekėjo siūlomo Informacinių sistemų (IS) architekto papildoma patirtis </t>
  </si>
  <si>
    <t xml:space="preserve">Tiekėjo siūlomo Informacinių sistemų analitiko  papildoma patirtis </t>
  </si>
  <si>
    <t>Kriterijus 5</t>
  </si>
  <si>
    <t>Kriterijus 6</t>
  </si>
  <si>
    <t>Kriterijus 7</t>
  </si>
  <si>
    <t>Kriterijus 8</t>
  </si>
  <si>
    <t>Kriterijus 9</t>
  </si>
  <si>
    <t>Kriterijus 10</t>
  </si>
  <si>
    <t>Iš viso balų</t>
  </si>
  <si>
    <t>už kainą:</t>
  </si>
  <si>
    <t>Skaičiavimams naudota, tarpiniai skaičiavimai:</t>
  </si>
  <si>
    <t>Bendri kintamieji:</t>
  </si>
  <si>
    <t>Qi %</t>
  </si>
  <si>
    <t>Versija 1.01, 2021-02-22</t>
  </si>
  <si>
    <t>Qi</t>
  </si>
  <si>
    <t>BALAI PAGAL ATSKIRAS FORMULES</t>
  </si>
  <si>
    <t>R</t>
  </si>
  <si>
    <t>IND</t>
  </si>
  <si>
    <t>INF</t>
  </si>
  <si>
    <t>!</t>
  </si>
  <si>
    <t>!!</t>
  </si>
  <si>
    <t>PARETO</t>
  </si>
  <si>
    <t>LOW/HIGH</t>
  </si>
  <si>
    <t>MUST MAX</t>
  </si>
  <si>
    <t>Must min price</t>
  </si>
  <si>
    <t>Qref</t>
  </si>
  <si>
    <t>Pref</t>
  </si>
  <si>
    <t>N</t>
  </si>
  <si>
    <t>Text Q</t>
  </si>
  <si>
    <t>Text P</t>
  </si>
  <si>
    <t>INFPERC</t>
  </si>
  <si>
    <t>!2017</t>
  </si>
  <si>
    <t>!!2017</t>
  </si>
  <si>
    <t>Naudojamas svoris</t>
  </si>
  <si>
    <t>1.1. Argitek (Absoliutinė)</t>
  </si>
  <si>
    <t>z</t>
  </si>
  <si>
    <t>N/A</t>
  </si>
  <si>
    <t>1.3. Kuiper 1  (Absoliutinė)</t>
  </si>
  <si>
    <t>+</t>
  </si>
  <si>
    <t>n/A</t>
  </si>
  <si>
    <t>1.4. Kuiper 2  (Absoliutinė)</t>
  </si>
  <si>
    <t>1.5. Kuiper 3  (Absoliutinė)</t>
  </si>
  <si>
    <t>1.6. Kuper superformulė  (Absoliutinė)</t>
  </si>
  <si>
    <t>Minimalios kainos kokybė (Qp=0)</t>
  </si>
  <si>
    <t>Maksimalios kokybės kaina (Pq=1)</t>
  </si>
  <si>
    <t>ne</t>
  </si>
  <si>
    <t>1.7. Chen 1  (Absoliutinė)</t>
  </si>
  <si>
    <t>QsetMin</t>
  </si>
  <si>
    <t>1.8. EMVI  superformulė (Absoliutinė)</t>
  </si>
  <si>
    <t>netirta</t>
  </si>
  <si>
    <t>Pavyzdinė kokybė (50-100 proc), (Qref)</t>
  </si>
  <si>
    <t>Pavyzdinė kaina (Pref)</t>
  </si>
  <si>
    <t>1.9. Naudos už pinigus (50-50)  (Absoliutinė)</t>
  </si>
  <si>
    <t>1.10. ISZF  (Absoliutinė)</t>
  </si>
  <si>
    <t>n29</t>
  </si>
  <si>
    <t>1.11. Mokesčių ir muitinės administracijos S kreivės formulė (Absoliutinė)</t>
  </si>
  <si>
    <t>α</t>
  </si>
  <si>
    <t>β</t>
  </si>
  <si>
    <t>n30</t>
  </si>
  <si>
    <t>1.12. Bergman ir Lundberg 1  (Absoliutinė)</t>
  </si>
  <si>
    <t>n</t>
  </si>
  <si>
    <t>Qsetmax</t>
  </si>
  <si>
    <t>b (€)</t>
  </si>
  <si>
    <t>n36</t>
  </si>
  <si>
    <t>1.13. Bergman ir Lundberg 2</t>
  </si>
  <si>
    <t>b%</t>
  </si>
  <si>
    <t>n37</t>
  </si>
  <si>
    <t>1.14. Bergman ir Lundberg 3  (Absoliutinė)</t>
  </si>
  <si>
    <t>QsetMax</t>
  </si>
  <si>
    <t>n38</t>
  </si>
  <si>
    <t>1.15. PSIBouw formulė</t>
  </si>
  <si>
    <t>2.1. Log formulė</t>
  </si>
  <si>
    <t>Log(Pi/Pmažiausia)</t>
  </si>
  <si>
    <t>2.2. Mažiausios kainos pasiūlymo</t>
  </si>
  <si>
    <t>2.3. Brangiausio - pigiausio pasiūlymo</t>
  </si>
  <si>
    <t>2.4. Balų vidurkio</t>
  </si>
  <si>
    <t>2.5. Kainos pasiūlymo skirtumo</t>
  </si>
  <si>
    <t>2.6. Vidutinio pasiūlymo</t>
  </si>
  <si>
    <t>2.7. Didžiausio kainos nuokrypio modelis</t>
  </si>
  <si>
    <t>2.8. Negometrix</t>
  </si>
  <si>
    <r>
      <t>U</t>
    </r>
    <r>
      <rPr>
        <i/>
        <sz val="11"/>
        <color theme="1"/>
        <rFont val="Calibri"/>
        <family val="2"/>
        <scheme val="minor"/>
      </rPr>
      <t>i</t>
    </r>
  </si>
  <si>
    <t>2.9. Koventrio miesto tarybos</t>
  </si>
  <si>
    <t>?</t>
  </si>
  <si>
    <t>2.10. Cern</t>
  </si>
  <si>
    <t>2.11.Tennet</t>
  </si>
  <si>
    <t>2.12.Mercer</t>
  </si>
  <si>
    <t>2.13.Škotijos vyriausybės formulė</t>
  </si>
  <si>
    <t>2.14.Vandentvarkos įmonės "Brabandse Delta"</t>
  </si>
  <si>
    <t>2.15.Chen 2</t>
  </si>
  <si>
    <t>2.16.Chen 3</t>
  </si>
  <si>
    <t>2.17. Pauw ir Wolvaardt</t>
  </si>
  <si>
    <t>pataisyta, reikia indiferencija perziuret</t>
  </si>
  <si>
    <t>2.18. Vidutinės kainos</t>
  </si>
  <si>
    <t>2.19. Mažiausios kainos</t>
  </si>
  <si>
    <t>2.20. Pasidalijimo metodo</t>
  </si>
  <si>
    <t>-</t>
  </si>
  <si>
    <t>2.21. Balo pagal reitingą</t>
  </si>
  <si>
    <t>ĮVERTkaina</t>
  </si>
  <si>
    <t>2.22. Domb Tsur</t>
  </si>
  <si>
    <t>pakeičiau į qx</t>
  </si>
  <si>
    <t>n9</t>
  </si>
  <si>
    <t>2.23. UfAB II formulė BMI</t>
  </si>
  <si>
    <t>n17</t>
  </si>
  <si>
    <t>2.24. UfAB medianos metodo BMI</t>
  </si>
  <si>
    <t>n18</t>
  </si>
  <si>
    <t>2.25. Kiekybinio pasiskirstymo 1</t>
  </si>
  <si>
    <t>n22</t>
  </si>
  <si>
    <t>2.26. Kiekybinio pasiskirstymo 2</t>
  </si>
  <si>
    <t>n23</t>
  </si>
  <si>
    <t>2.27. Kiekybinio pasiskirstymo 3</t>
  </si>
  <si>
    <t>n24</t>
  </si>
  <si>
    <t>setmin</t>
  </si>
  <si>
    <t>setmax</t>
  </si>
  <si>
    <t>Kokybės formulės</t>
  </si>
  <si>
    <t>o</t>
  </si>
  <si>
    <t>Didžiausias - geriausias</t>
  </si>
  <si>
    <t>Mažiausias - geriausias</t>
  </si>
  <si>
    <t>Taip / Ne</t>
  </si>
  <si>
    <t>Taip - max balų, Ne - 0 balų.</t>
  </si>
  <si>
    <t>Rankinis balų įrašymas, kai netinka kitos formulės</t>
  </si>
  <si>
    <t>MAX - 0 balų, Min - max balų</t>
  </si>
  <si>
    <t>MAX - max balų, min - 0 balų</t>
  </si>
  <si>
    <t>Wq</t>
  </si>
  <si>
    <t>Small:</t>
  </si>
  <si>
    <t>Formula ID:</t>
  </si>
  <si>
    <t>IndifId</t>
  </si>
  <si>
    <t>Rank</t>
  </si>
  <si>
    <t>ID:</t>
  </si>
  <si>
    <t>ID_result</t>
  </si>
  <si>
    <t>Check count</t>
  </si>
  <si>
    <t>Check average</t>
  </si>
  <si>
    <t>Ui</t>
  </si>
  <si>
    <t>bbi</t>
  </si>
  <si>
    <t>pi1</t>
  </si>
  <si>
    <t>pi2</t>
  </si>
  <si>
    <t>gh</t>
  </si>
  <si>
    <t>Kokybė</t>
  </si>
  <si>
    <t>Kaina 20</t>
  </si>
  <si>
    <t>Kaina 40</t>
  </si>
  <si>
    <t>Kaina 50</t>
  </si>
  <si>
    <t>Kaina 60</t>
  </si>
  <si>
    <t>Kaina 80</t>
  </si>
  <si>
    <t>=</t>
  </si>
  <si>
    <t>A1</t>
  </si>
  <si>
    <t>B1</t>
  </si>
  <si>
    <t>C1</t>
  </si>
  <si>
    <t>D1</t>
  </si>
  <si>
    <t>E1</t>
  </si>
  <si>
    <t>F1</t>
  </si>
  <si>
    <t>G1</t>
  </si>
  <si>
    <t>H1</t>
  </si>
  <si>
    <t>I1</t>
  </si>
  <si>
    <t>J1</t>
  </si>
  <si>
    <t>K1</t>
  </si>
  <si>
    <t>L1</t>
  </si>
  <si>
    <t>M1</t>
  </si>
  <si>
    <t>N1</t>
  </si>
  <si>
    <t>O1</t>
  </si>
  <si>
    <t>P1</t>
  </si>
  <si>
    <t>Q1</t>
  </si>
  <si>
    <t>R1</t>
  </si>
  <si>
    <t>S1</t>
  </si>
  <si>
    <t>T1</t>
  </si>
  <si>
    <t>U1</t>
  </si>
  <si>
    <t>V1</t>
  </si>
  <si>
    <t>W1</t>
  </si>
  <si>
    <t>X1</t>
  </si>
  <si>
    <t>Y1</t>
  </si>
  <si>
    <t>Z1</t>
  </si>
  <si>
    <t>AA1</t>
  </si>
  <si>
    <t>AB1</t>
  </si>
  <si>
    <t>A2</t>
  </si>
  <si>
    <t>B2</t>
  </si>
  <si>
    <t>C2</t>
  </si>
  <si>
    <t>D2</t>
  </si>
  <si>
    <t>E2</t>
  </si>
  <si>
    <t>F2</t>
  </si>
  <si>
    <t>G2</t>
  </si>
  <si>
    <t>H2</t>
  </si>
  <si>
    <t>I2</t>
  </si>
  <si>
    <t>J2</t>
  </si>
  <si>
    <t>K2</t>
  </si>
  <si>
    <t>L2</t>
  </si>
  <si>
    <t>M2</t>
  </si>
  <si>
    <t>N2</t>
  </si>
  <si>
    <t>O2</t>
  </si>
  <si>
    <t>P2</t>
  </si>
  <si>
    <t>Q2</t>
  </si>
  <si>
    <t>R2</t>
  </si>
  <si>
    <t>S2</t>
  </si>
  <si>
    <t>T2</t>
  </si>
  <si>
    <t>U2</t>
  </si>
  <si>
    <t>V2</t>
  </si>
  <si>
    <t>W2</t>
  </si>
  <si>
    <t>X2</t>
  </si>
  <si>
    <t>Y2</t>
  </si>
  <si>
    <t>Z2</t>
  </si>
  <si>
    <t>AA2</t>
  </si>
  <si>
    <t>AB2</t>
  </si>
  <si>
    <t>A3</t>
  </si>
  <si>
    <t>B3</t>
  </si>
  <si>
    <t>C3</t>
  </si>
  <si>
    <t>D3</t>
  </si>
  <si>
    <t>E3</t>
  </si>
  <si>
    <t>F3</t>
  </si>
  <si>
    <t>G3</t>
  </si>
  <si>
    <t>H3</t>
  </si>
  <si>
    <t>I3</t>
  </si>
  <si>
    <t>J3</t>
  </si>
  <si>
    <t>K3</t>
  </si>
  <si>
    <t>L3</t>
  </si>
  <si>
    <t>M3</t>
  </si>
  <si>
    <t>N3</t>
  </si>
  <si>
    <t>O3</t>
  </si>
  <si>
    <t>P3</t>
  </si>
  <si>
    <t>Q3</t>
  </si>
  <si>
    <t>R3</t>
  </si>
  <si>
    <t>S3</t>
  </si>
  <si>
    <t>T3</t>
  </si>
  <si>
    <t>U3</t>
  </si>
  <si>
    <t>V3</t>
  </si>
  <si>
    <t>W3</t>
  </si>
  <si>
    <t>X3</t>
  </si>
  <si>
    <t>Y3</t>
  </si>
  <si>
    <t>Z3</t>
  </si>
  <si>
    <t>AA3</t>
  </si>
  <si>
    <t>AB3</t>
  </si>
  <si>
    <t>A4</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</si>
  <si>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</si>
  <si>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</si>
  <si>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</si>
  <si>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</si>
  <si>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</si>
  <si>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</si>
  <si>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</si>
  <si>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</si>
  <si>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</si>
  <si>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</si>
  <si>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</si>
  <si>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</si>
  <si>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</si>
  <si>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</si>
  <si>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</si>
  <si>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</si>
  <si>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</si>
  <si>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</si>
  <si>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</si>
  <si>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</si>
  <si>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</si>
  <si>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</si>
  <si>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</si>
  <si>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</si>
  <si>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</si>
  <si>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</si>
  <si>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</si>
  <si>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A5</t>
  </si>
  <si>
    <t>B5</t>
  </si>
  <si>
    <t>C5</t>
  </si>
  <si>
    <t>D5</t>
  </si>
  <si>
    <t>E5</t>
  </si>
  <si>
    <t>F5</t>
  </si>
  <si>
    <t>G5</t>
  </si>
  <si>
    <t>H5</t>
  </si>
  <si>
    <t>I5</t>
  </si>
  <si>
    <t>J5</t>
  </si>
  <si>
    <t>K5</t>
  </si>
  <si>
    <t>L5</t>
  </si>
  <si>
    <t>M5</t>
  </si>
  <si>
    <t>N5</t>
  </si>
  <si>
    <t>O5</t>
  </si>
  <si>
    <t>P5</t>
  </si>
  <si>
    <t>R5</t>
  </si>
  <si>
    <t>S5</t>
  </si>
  <si>
    <t>T5</t>
  </si>
  <si>
    <t>U5</t>
  </si>
  <si>
    <t>V5</t>
  </si>
  <si>
    <t>W5</t>
  </si>
  <si>
    <t>X5</t>
  </si>
  <si>
    <t>Y5</t>
  </si>
  <si>
    <t>Z5</t>
  </si>
  <si>
    <t>AA5</t>
  </si>
  <si>
    <t>AB5</t>
  </si>
  <si>
    <t>A6</t>
  </si>
  <si>
    <t>B6</t>
  </si>
  <si>
    <t>C6</t>
  </si>
  <si>
    <t>D6</t>
  </si>
  <si>
    <t>E6</t>
  </si>
  <si>
    <t>F6</t>
  </si>
  <si>
    <t>G6</t>
  </si>
  <si>
    <t>H6</t>
  </si>
  <si>
    <t>I6</t>
  </si>
  <si>
    <t>J6</t>
  </si>
  <si>
    <t>K6</t>
  </si>
  <si>
    <t>L6</t>
  </si>
  <si>
    <t>M6</t>
  </si>
  <si>
    <t>N6</t>
  </si>
  <si>
    <t>O6</t>
  </si>
  <si>
    <t>P6</t>
  </si>
  <si>
    <t>R6</t>
  </si>
  <si>
    <t>S6</t>
  </si>
  <si>
    <t>T6</t>
  </si>
  <si>
    <t>U6</t>
  </si>
  <si>
    <t>V6</t>
  </si>
  <si>
    <t>W6</t>
  </si>
  <si>
    <t>X6</t>
  </si>
  <si>
    <t>Y6</t>
  </si>
  <si>
    <t>Z6</t>
  </si>
  <si>
    <t>AA6</t>
  </si>
  <si>
    <t>AB6</t>
  </si>
  <si>
    <t>A7</t>
  </si>
  <si>
    <t>B7</t>
  </si>
  <si>
    <t>C7</t>
  </si>
  <si>
    <t>D7</t>
  </si>
  <si>
    <t>E7</t>
  </si>
  <si>
    <t>F7</t>
  </si>
  <si>
    <t>G7</t>
  </si>
  <si>
    <t>H7</t>
  </si>
  <si>
    <t>I7</t>
  </si>
  <si>
    <t>J7</t>
  </si>
  <si>
    <t>K7</t>
  </si>
  <si>
    <t>L7</t>
  </si>
  <si>
    <t>M7</t>
  </si>
  <si>
    <t>N7</t>
  </si>
  <si>
    <t>O7</t>
  </si>
  <si>
    <t>P7</t>
  </si>
  <si>
    <t>R7</t>
  </si>
  <si>
    <t>S7</t>
  </si>
  <si>
    <t>T7</t>
  </si>
  <si>
    <t>U7</t>
  </si>
  <si>
    <t>V7</t>
  </si>
  <si>
    <t>W7</t>
  </si>
  <si>
    <t>X7</t>
  </si>
  <si>
    <t>Y7</t>
  </si>
  <si>
    <t>Z7</t>
  </si>
  <si>
    <t>AA7</t>
  </si>
  <si>
    <t>AB7</t>
  </si>
  <si>
    <t>A8</t>
  </si>
  <si>
    <t>B8</t>
  </si>
  <si>
    <t>C8</t>
  </si>
  <si>
    <t>D8</t>
  </si>
  <si>
    <t>E8</t>
  </si>
  <si>
    <t>F8</t>
  </si>
  <si>
    <t>G8</t>
  </si>
  <si>
    <t>H8</t>
  </si>
  <si>
    <t>I8</t>
  </si>
  <si>
    <t>J8</t>
  </si>
  <si>
    <t>K8</t>
  </si>
  <si>
    <t>L8</t>
  </si>
  <si>
    <t>M8</t>
  </si>
  <si>
    <t>N8</t>
  </si>
  <si>
    <t>O8</t>
  </si>
  <si>
    <t>P8</t>
  </si>
  <si>
    <t>R8</t>
  </si>
  <si>
    <t>S8</t>
  </si>
  <si>
    <t>T8</t>
  </si>
  <si>
    <t>U8</t>
  </si>
  <si>
    <t>V8</t>
  </si>
  <si>
    <t>W8</t>
  </si>
  <si>
    <t>X8</t>
  </si>
  <si>
    <t>Y8</t>
  </si>
  <si>
    <t>Z8</t>
  </si>
  <si>
    <t>AA8</t>
  </si>
  <si>
    <t>AB8</t>
  </si>
  <si>
    <t>A9</t>
  </si>
  <si>
    <t>B9</t>
  </si>
  <si>
    <t>C9</t>
  </si>
  <si>
    <t>D9</t>
  </si>
  <si>
    <t>E9</t>
  </si>
  <si>
    <t>F9</t>
  </si>
  <si>
    <t>G9</t>
  </si>
  <si>
    <t>H9</t>
  </si>
  <si>
    <t>I9</t>
  </si>
  <si>
    <t>J9</t>
  </si>
  <si>
    <t>K9</t>
  </si>
  <si>
    <t>L9</t>
  </si>
  <si>
    <t>M9</t>
  </si>
  <si>
    <t>N9</t>
  </si>
  <si>
    <t>O9</t>
  </si>
  <si>
    <t>P9</t>
  </si>
  <si>
    <t>R9</t>
  </si>
  <si>
    <t>S9</t>
  </si>
  <si>
    <t>T9</t>
  </si>
  <si>
    <t>U9</t>
  </si>
  <si>
    <t>V9</t>
  </si>
  <si>
    <t>W9</t>
  </si>
  <si>
    <t>X9</t>
  </si>
  <si>
    <t>Y9</t>
  </si>
  <si>
    <t>Z9</t>
  </si>
  <si>
    <t>AA9</t>
  </si>
  <si>
    <t>AB9</t>
  </si>
  <si>
    <t>A10</t>
  </si>
  <si>
    <t>B10</t>
  </si>
  <si>
    <t>C10</t>
  </si>
  <si>
    <t>D10</t>
  </si>
  <si>
    <t>E10</t>
  </si>
  <si>
    <t>F10</t>
  </si>
  <si>
    <t>G10</t>
  </si>
  <si>
    <t>H10</t>
  </si>
  <si>
    <t>I10</t>
  </si>
  <si>
    <t>J10</t>
  </si>
  <si>
    <t>K10</t>
  </si>
  <si>
    <t>L10</t>
  </si>
  <si>
    <t>M10</t>
  </si>
  <si>
    <t>N10</t>
  </si>
  <si>
    <t>O10</t>
  </si>
  <si>
    <t>P10</t>
  </si>
  <si>
    <t>R10</t>
  </si>
  <si>
    <t>S10</t>
  </si>
  <si>
    <t>T10</t>
  </si>
  <si>
    <t>U10</t>
  </si>
  <si>
    <t>V10</t>
  </si>
  <si>
    <t>W10</t>
  </si>
  <si>
    <t>X10</t>
  </si>
  <si>
    <t>Y10</t>
  </si>
  <si>
    <t>Z10</t>
  </si>
  <si>
    <t>AA10</t>
  </si>
  <si>
    <t>AB10</t>
  </si>
  <si>
    <t>A11</t>
  </si>
  <si>
    <t>B11</t>
  </si>
  <si>
    <t>C11</t>
  </si>
  <si>
    <t>D11</t>
  </si>
  <si>
    <t>E11</t>
  </si>
  <si>
    <t>F11</t>
  </si>
  <si>
    <t>G11</t>
  </si>
  <si>
    <t>H11</t>
  </si>
  <si>
    <t>I11</t>
  </si>
  <si>
    <t>J11</t>
  </si>
  <si>
    <t>K11</t>
  </si>
  <si>
    <t>L11</t>
  </si>
  <si>
    <t>M11</t>
  </si>
  <si>
    <t>N11</t>
  </si>
  <si>
    <t>O11</t>
  </si>
  <si>
    <t>P11</t>
  </si>
  <si>
    <t>R11</t>
  </si>
  <si>
    <t>S11</t>
  </si>
  <si>
    <t>T11</t>
  </si>
  <si>
    <t>U11</t>
  </si>
  <si>
    <t>V11</t>
  </si>
  <si>
    <t>W11</t>
  </si>
  <si>
    <t>X11</t>
  </si>
  <si>
    <t>Y11</t>
  </si>
  <si>
    <t>Z11</t>
  </si>
  <si>
    <t>AA11</t>
  </si>
  <si>
    <t>AB11</t>
  </si>
  <si>
    <t>A12</t>
  </si>
  <si>
    <t>B12</t>
  </si>
  <si>
    <t>C12</t>
  </si>
  <si>
    <t>D12</t>
  </si>
  <si>
    <t>E12</t>
  </si>
  <si>
    <t>F12</t>
  </si>
  <si>
    <t>G12</t>
  </si>
  <si>
    <t>H12</t>
  </si>
  <si>
    <t>I12</t>
  </si>
  <si>
    <t>J12</t>
  </si>
  <si>
    <t>K12</t>
  </si>
  <si>
    <t>L12</t>
  </si>
  <si>
    <t>M12</t>
  </si>
  <si>
    <t>N12</t>
  </si>
  <si>
    <t>O12</t>
  </si>
  <si>
    <t>P12</t>
  </si>
  <si>
    <t>R12</t>
  </si>
  <si>
    <t>S12</t>
  </si>
  <si>
    <t>T12</t>
  </si>
  <si>
    <t>U12</t>
  </si>
  <si>
    <t>V12</t>
  </si>
  <si>
    <t>W12</t>
  </si>
  <si>
    <t>X12</t>
  </si>
  <si>
    <t>Y12</t>
  </si>
  <si>
    <t>Z12</t>
  </si>
  <si>
    <t>AA12</t>
  </si>
  <si>
    <t>AB12</t>
  </si>
  <si>
    <t>A13</t>
  </si>
  <si>
    <t>B13</t>
  </si>
  <si>
    <t>C13</t>
  </si>
  <si>
    <t>D13</t>
  </si>
  <si>
    <t>E13</t>
  </si>
  <si>
    <t>F13</t>
  </si>
  <si>
    <t>G13</t>
  </si>
  <si>
    <t>H13</t>
  </si>
  <si>
    <t>I13</t>
  </si>
  <si>
    <t>J13</t>
  </si>
  <si>
    <t>K13</t>
  </si>
  <si>
    <t>L13</t>
  </si>
  <si>
    <t>M13</t>
  </si>
  <si>
    <t>N13</t>
  </si>
  <si>
    <t>O13</t>
  </si>
  <si>
    <t>P13</t>
  </si>
  <si>
    <t>R13</t>
  </si>
  <si>
    <t>S13</t>
  </si>
  <si>
    <t>T13</t>
  </si>
  <si>
    <t>U13</t>
  </si>
  <si>
    <t>V13</t>
  </si>
  <si>
    <t>W13</t>
  </si>
  <si>
    <t>X13</t>
  </si>
  <si>
    <t>Y13</t>
  </si>
  <si>
    <t>Z13</t>
  </si>
  <si>
    <t>AA13</t>
  </si>
  <si>
    <t>AB13</t>
  </si>
  <si>
    <t>A14</t>
  </si>
  <si>
    <t>B14</t>
  </si>
  <si>
    <t>C14</t>
  </si>
  <si>
    <t>D14</t>
  </si>
  <si>
    <t>E14</t>
  </si>
  <si>
    <t>F14</t>
  </si>
  <si>
    <t>G14</t>
  </si>
  <si>
    <t>H14</t>
  </si>
  <si>
    <t>I14</t>
  </si>
  <si>
    <t>J14</t>
  </si>
  <si>
    <t>K14</t>
  </si>
  <si>
    <t>L14</t>
  </si>
  <si>
    <t>M14</t>
  </si>
  <si>
    <t>N14</t>
  </si>
  <si>
    <t>O14</t>
  </si>
  <si>
    <t>P14</t>
  </si>
  <si>
    <t>R14</t>
  </si>
  <si>
    <t>S14</t>
  </si>
  <si>
    <t>T14</t>
  </si>
  <si>
    <t>U14</t>
  </si>
  <si>
    <t>V14</t>
  </si>
  <si>
    <t>W14</t>
  </si>
  <si>
    <t>X14</t>
  </si>
  <si>
    <t>Y14</t>
  </si>
  <si>
    <t>Z14</t>
  </si>
  <si>
    <t>AA14</t>
  </si>
  <si>
    <t>AB14</t>
  </si>
  <si>
    <t>A15</t>
  </si>
  <si>
    <t>B15</t>
  </si>
  <si>
    <t>C15</t>
  </si>
  <si>
    <t>D15</t>
  </si>
  <si>
    <t>E15</t>
  </si>
  <si>
    <t>F15</t>
  </si>
  <si>
    <t>G15</t>
  </si>
  <si>
    <t>H15</t>
  </si>
  <si>
    <t>I15</t>
  </si>
  <si>
    <t>J15</t>
  </si>
  <si>
    <t>K15</t>
  </si>
  <si>
    <t>L15</t>
  </si>
  <si>
    <t>M15</t>
  </si>
  <si>
    <t>N15</t>
  </si>
  <si>
    <t>O15</t>
  </si>
  <si>
    <t>P15</t>
  </si>
  <si>
    <t>R15</t>
  </si>
  <si>
    <t>S15</t>
  </si>
  <si>
    <t>T15</t>
  </si>
  <si>
    <t>U15</t>
  </si>
  <si>
    <t>V15</t>
  </si>
  <si>
    <t>W15</t>
  </si>
  <si>
    <t>X15</t>
  </si>
  <si>
    <t>Y15</t>
  </si>
  <si>
    <t>Z15</t>
  </si>
  <si>
    <t>AA15</t>
  </si>
  <si>
    <t>AB15</t>
  </si>
  <si>
    <t>A16</t>
  </si>
  <si>
    <t>B16</t>
  </si>
  <si>
    <t>C16</t>
  </si>
  <si>
    <t>D16</t>
  </si>
  <si>
    <t>E16</t>
  </si>
  <si>
    <t>F16</t>
  </si>
  <si>
    <t>G16</t>
  </si>
  <si>
    <t>H16</t>
  </si>
  <si>
    <t>I16</t>
  </si>
  <si>
    <t>J16</t>
  </si>
  <si>
    <t>K16</t>
  </si>
  <si>
    <t>L16</t>
  </si>
  <si>
    <t>M16</t>
  </si>
  <si>
    <t>N16</t>
  </si>
  <si>
    <t>O16</t>
  </si>
  <si>
    <t>P16</t>
  </si>
  <si>
    <t>R16</t>
  </si>
  <si>
    <t>S16</t>
  </si>
  <si>
    <t>T16</t>
  </si>
  <si>
    <t>U16</t>
  </si>
  <si>
    <t>V16</t>
  </si>
  <si>
    <t>W16</t>
  </si>
  <si>
    <t>X16</t>
  </si>
  <si>
    <t>Y16</t>
  </si>
  <si>
    <t>Z16</t>
  </si>
  <si>
    <t>AA16</t>
  </si>
  <si>
    <t>AB16</t>
  </si>
  <si>
    <t>A17</t>
  </si>
  <si>
    <t>B17</t>
  </si>
  <si>
    <t>C17</t>
  </si>
  <si>
    <t>D17</t>
  </si>
  <si>
    <t>E17</t>
  </si>
  <si>
    <t>F17</t>
  </si>
  <si>
    <t>G17</t>
  </si>
  <si>
    <t>H17</t>
  </si>
  <si>
    <t>I17</t>
  </si>
  <si>
    <t>J17</t>
  </si>
  <si>
    <t>K17</t>
  </si>
  <si>
    <t>L17</t>
  </si>
  <si>
    <t>M17</t>
  </si>
  <si>
    <t>N17</t>
  </si>
  <si>
    <t>O17</t>
  </si>
  <si>
    <t>P17</t>
  </si>
  <si>
    <t>R17</t>
  </si>
  <si>
    <t>S17</t>
  </si>
  <si>
    <t>T17</t>
  </si>
  <si>
    <t>U17</t>
  </si>
  <si>
    <t>V17</t>
  </si>
  <si>
    <t>W17</t>
  </si>
  <si>
    <t>X17</t>
  </si>
  <si>
    <t>Y17</t>
  </si>
  <si>
    <t>Z17</t>
  </si>
  <si>
    <t>AA17</t>
  </si>
  <si>
    <t>AB17</t>
  </si>
  <si>
    <t>A18</t>
  </si>
  <si>
    <t>B18</t>
  </si>
  <si>
    <t>C18</t>
  </si>
  <si>
    <t>D18</t>
  </si>
  <si>
    <t>E18</t>
  </si>
  <si>
    <t>F18</t>
  </si>
  <si>
    <t>G18</t>
  </si>
  <si>
    <t>H18</t>
  </si>
  <si>
    <t>I18</t>
  </si>
  <si>
    <t>J18</t>
  </si>
  <si>
    <t>K18</t>
  </si>
  <si>
    <t>L18</t>
  </si>
  <si>
    <t>M18</t>
  </si>
  <si>
    <t>N18</t>
  </si>
  <si>
    <t>O18</t>
  </si>
  <si>
    <t>P18</t>
  </si>
  <si>
    <t>R18</t>
  </si>
  <si>
    <t>S18</t>
  </si>
  <si>
    <t>T18</t>
  </si>
  <si>
    <t>U18</t>
  </si>
  <si>
    <t>V18</t>
  </si>
  <si>
    <t>W18</t>
  </si>
  <si>
    <t>X18</t>
  </si>
  <si>
    <t>Y18</t>
  </si>
  <si>
    <t>Z18</t>
  </si>
  <si>
    <t>AA18</t>
  </si>
  <si>
    <t>AB18</t>
  </si>
  <si>
    <t>A19</t>
  </si>
  <si>
    <t>B19</t>
  </si>
  <si>
    <t>C19</t>
  </si>
  <si>
    <t>D19</t>
  </si>
  <si>
    <t>E19</t>
  </si>
  <si>
    <t>F19</t>
  </si>
  <si>
    <t>G19</t>
  </si>
  <si>
    <t>H19</t>
  </si>
  <si>
    <t>I19</t>
  </si>
  <si>
    <t>J19</t>
  </si>
  <si>
    <t>K19</t>
  </si>
  <si>
    <t>L19</t>
  </si>
  <si>
    <t>M19</t>
  </si>
  <si>
    <t>N19</t>
  </si>
  <si>
    <t>O19</t>
  </si>
  <si>
    <t>P19</t>
  </si>
  <si>
    <t>R19</t>
  </si>
  <si>
    <t>S19</t>
  </si>
  <si>
    <t>T19</t>
  </si>
  <si>
    <t>U19</t>
  </si>
  <si>
    <t>V19</t>
  </si>
  <si>
    <t>W19</t>
  </si>
  <si>
    <t>X19</t>
  </si>
  <si>
    <t>Y19</t>
  </si>
  <si>
    <t>Z19</t>
  </si>
  <si>
    <t>AA19</t>
  </si>
  <si>
    <t>AB19</t>
  </si>
  <si>
    <t>A20</t>
  </si>
  <si>
    <t>B20</t>
  </si>
  <si>
    <t>C20</t>
  </si>
  <si>
    <t>D20</t>
  </si>
  <si>
    <t>E20</t>
  </si>
  <si>
    <t>F20</t>
  </si>
  <si>
    <t>G20</t>
  </si>
  <si>
    <t>H20</t>
  </si>
  <si>
    <t>I20</t>
  </si>
  <si>
    <t>J20</t>
  </si>
  <si>
    <t>K20</t>
  </si>
  <si>
    <t>L20</t>
  </si>
  <si>
    <t>M20</t>
  </si>
  <si>
    <t>N20</t>
  </si>
  <si>
    <t>O20</t>
  </si>
  <si>
    <t>P20</t>
  </si>
  <si>
    <t>R20</t>
  </si>
  <si>
    <t>S20</t>
  </si>
  <si>
    <t>T20</t>
  </si>
  <si>
    <t>U20</t>
  </si>
  <si>
    <t>V20</t>
  </si>
  <si>
    <t>W20</t>
  </si>
  <si>
    <t>X20</t>
  </si>
  <si>
    <t>Y20</t>
  </si>
  <si>
    <t>Z20</t>
  </si>
  <si>
    <t>AA20</t>
  </si>
  <si>
    <t>AB20</t>
  </si>
  <si>
    <t>A21</t>
  </si>
  <si>
    <t>B21</t>
  </si>
  <si>
    <t>C21</t>
  </si>
  <si>
    <t>D21</t>
  </si>
  <si>
    <t>E21</t>
  </si>
  <si>
    <t>F21</t>
  </si>
  <si>
    <t>G21</t>
  </si>
  <si>
    <t>H21</t>
  </si>
  <si>
    <t>I21</t>
  </si>
  <si>
    <t>J21</t>
  </si>
  <si>
    <t>K21</t>
  </si>
  <si>
    <t>L21</t>
  </si>
  <si>
    <t>M21</t>
  </si>
  <si>
    <t>N21</t>
  </si>
  <si>
    <t>O21</t>
  </si>
  <si>
    <t>P21</t>
  </si>
  <si>
    <t>R21</t>
  </si>
  <si>
    <t>S21</t>
  </si>
  <si>
    <t>T21</t>
  </si>
  <si>
    <t>U21</t>
  </si>
  <si>
    <t>V21</t>
  </si>
  <si>
    <t>W21</t>
  </si>
  <si>
    <t>X21</t>
  </si>
  <si>
    <t>Y21</t>
  </si>
  <si>
    <t>Z21</t>
  </si>
  <si>
    <t>AA21</t>
  </si>
  <si>
    <t>AB21</t>
  </si>
  <si>
    <t>ID</t>
  </si>
  <si>
    <t>StringLT</t>
  </si>
  <si>
    <t>Atgal</t>
  </si>
  <si>
    <t>Ieškoti</t>
  </si>
  <si>
    <t>Kokybė (Kriterijus 1)</t>
  </si>
  <si>
    <t>Ką keisti?</t>
  </si>
  <si>
    <t>Įrašyta neleistina reikšmė. Leidžiami tik skaičiai. Įsitikinkite, kad naudojate tinkamą dešimtainio skaičiaus skyriklį.</t>
  </si>
  <si>
    <t>Nepavyko rasti bendro balo visoms kainos ir kokybės kombinacijoms. Patikrinkite kintamųjų reikšmes, kainai ir kokybei suteiktą svorį ir bendro balo paieškos programėlės nustatymus.</t>
  </si>
  <si>
    <t>Kokio bendro balo ieškoti?</t>
  </si>
  <si>
    <t>Kryptis</t>
  </si>
  <si>
    <t>Nustatymai</t>
  </si>
  <si>
    <t>Pirmyn</t>
  </si>
  <si>
    <t>Nekeisti pirmo</t>
  </si>
  <si>
    <t>Nekeisti paskutinio (10-o)</t>
  </si>
  <si>
    <t>Geltona</t>
  </si>
  <si>
    <t>Žalia</t>
  </si>
  <si>
    <t>Mėlyna</t>
  </si>
  <si>
    <t>Violetinė</t>
  </si>
  <si>
    <t>Raudona</t>
  </si>
  <si>
    <t>Išvalyti</t>
  </si>
  <si>
    <t>Užpildyti 1 kokybės kriterijų</t>
  </si>
  <si>
    <t>Skaičiavimas baigtas.</t>
  </si>
  <si>
    <t>Skaičiuojama...</t>
  </si>
  <si>
    <t>Naudojama naujausia versija</t>
  </si>
  <si>
    <t>Yra naujesnė versija:</t>
  </si>
  <si>
    <t>Kompiuteriuose su OSX sistema, iliustracija atidaroma naujame lange</t>
  </si>
  <si>
    <t>Spauskite čia</t>
  </si>
  <si>
    <t>Simuliacija</t>
  </si>
  <si>
    <t xml:space="preserve">Socialinis kokybės kriterijus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</si>
</sst>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00"/>
    <numFmt numFmtId="165" formatCode="#,##0.000_ ;\-#,##0.000\ "/>
    <numFmt numFmtId="166" formatCode="0.000"/>
    <numFmt numFmtId="167" formatCode="0.000000000000E+00"/>
    <numFmt numFmtId="168" formatCode="#,##0.00_ ;\-#,##0.00\ "/>
  </numFmts>
  <fonts count="45" x14ac:knownFonts="1">
    <font>
      <sz val="11"/>
      <color theme="1"/>
      <name val="Calibri"/>
      <family val="2"/>
      <charset val="186"/>
      <scheme val="minor"/>
    </font>
    <font>
      <sz val="11"/>
      <color theme="1"/>
      <name val="Calibri"/>
      <family val="2"/>
      <charset val="186"/>
      <scheme val="minor"/>
    </font>
    <font>
      <sz val="11"/>
      <color theme="0"/>
      <name val="Calibri"/>
      <family val="2"/>
      <charset val="186"/>
      <scheme val="minor"/>
    </font>
    <font>
      <sz val="8"/>
      <name val="Calibri"/>
      <family val="2"/>
      <charset val="186"/>
      <scheme val="minor"/>
    </font>
    <font>
      <b/>
      <sz val="11"/>
      <color theme="1"/>
      <name val="Calibri"/>
      <family val="2"/>
      <scheme val="minor"/>
    </font>
    <font>
      <b/>
      <i/>
      <sz val="8"/>
      <color theme="1"/>
      <name val="Calibri"/>
      <family val="2"/>
      <scheme val="minor"/>
    </font>
    <font>
      <sz val="11"/>
      <color rgb="FFFF0000"/>
      <name val="Calibri"/>
      <family val="2"/>
      <charset val="186"/>
      <scheme val="minor"/>
    </font>
    <font>
      <sz val="10"/>
      <color theme="1"/>
      <name val="Calibri"/>
      <family val="2"/>
      <charset val="186"/>
      <scheme val="minor"/>
    </font>
    <font>
      <u/>
      <sz val="11"/>
      <color theme="10"/>
      <name val="Calibri"/>
      <family val="2"/>
      <charset val="186"/>
      <scheme val="minor"/>
    </font>
    <font>
      <sz val="9"/>
      <color indexed="81"/>
      <name val="Tahoma"/>
      <family val="2"/>
    </font>
    <font>
      <sz val="11"/>
      <color rgb="FF9C5700"/>
      <name val="Calibri"/>
      <family val="2"/>
      <charset val="186"/>
      <scheme val="minor"/>
    </font>
    <font>
      <sz val="11"/>
      <color theme="1"/>
      <name val="Calibri"/>
      <family val="2"/>
    </font>
    <font>
      <b/>
      <i/>
      <sz val="9"/>
      <color indexed="81"/>
      <name val="Tahoma"/>
      <family val="2"/>
    </font>
    <font>
      <b/>
      <sz val="9"/>
      <color indexed="81"/>
      <name val="Tahoma"/>
      <family val="2"/>
    </font>
    <font>
      <sz val="12"/>
      <color rgb="FF3F3F3F"/>
      <name val="Roboto"/>
    </font>
    <font>
      <u/>
      <sz val="12"/>
      <color rgb="FF3F3F3F"/>
      <name val="Roboto"/>
    </font>
    <font>
      <b/>
      <sz val="11"/>
      <color theme="0"/>
      <name val="Calibri"/>
      <family val="2"/>
      <charset val="186"/>
      <scheme val="minor"/>
    </font>
    <font>
      <b/>
      <sz val="20"/>
      <color theme="1"/>
      <name val="Calibri"/>
      <family val="2"/>
      <scheme val="minor"/>
    </font>
    <font>
      <b/>
      <sz val="11"/>
      <color theme="0"/>
      <name val="Verdana"/>
      <family val="2"/>
    </font>
    <font>
      <sz val="11"/>
      <color theme="1"/>
      <name val="Verdana"/>
      <family val="2"/>
    </font>
    <font>
      <sz val="10"/>
      <color theme="1"/>
      <name val="Verdana"/>
      <family val="2"/>
    </font>
    <font>
      <b/>
      <i/>
      <sz val="8"/>
      <color theme="1"/>
      <name val="Verdana"/>
      <family val="2"/>
    </font>
    <font>
      <b/>
      <sz val="11"/>
      <color theme="1"/>
      <name val="Verdana"/>
      <family val="2"/>
    </font>
    <font>
      <b/>
      <sz val="12"/>
      <color theme="1"/>
      <name val="Verdana"/>
      <family val="2"/>
    </font>
    <font>
      <b/>
      <sz val="10"/>
      <color theme="0"/>
      <name val="Verdana"/>
      <family val="2"/>
    </font>
    <font>
      <sz val="11"/>
      <color rgb="FF9C0006"/>
      <name val="Calibri"/>
      <family val="2"/>
      <charset val="186"/>
      <scheme val="minor"/>
    </font>
    <font>
      <b/>
      <sz val="11"/>
      <color rgb="FF9C0006"/>
      <name val="Calibri"/>
      <family val="2"/>
      <scheme val="minor"/>
    </font>
    <font>
      <b/>
      <sz val="12"/>
      <color rgb="FFFF0000"/>
      <name val="Verdana"/>
      <family val="2"/>
    </font>
    <font>
      <sz val="11"/>
      <color rgb="FFFF0000"/>
      <name val="Verdana"/>
      <family val="2"/>
    </font>
    <font>
      <b/>
      <sz val="11"/>
      <color theme="0"/>
      <name val="Calibri"/>
      <family val="2"/>
      <scheme val="minor"/>
    </font>
    <font>
      <sz val="11"/>
      <color theme="0"/>
      <name val="Calibri"/>
      <family val="2"/>
      <scheme val="minor"/>
    </font>
    <font>
      <sz val="10"/>
      <name val="Calibri"/>
      <family val="2"/>
      <scheme val="minor"/>
    </font>
    <font>
      <sz val="11"/>
      <name val="Calibri"/>
      <family val="2"/>
      <scheme val="minor"/>
    </font>
    <font>
      <sz val="11"/>
      <color theme="0" tint="-0.34998626667073579"/>
      <name val="Verdana"/>
      <family val="2"/>
    </font>
    <font>
      <sz val="11"/>
      <color rgb="FF006100"/>
      <name val="Calibri"/>
      <family val="2"/>
      <charset val="186"/>
      <scheme val="minor"/>
    </font>
    <font>
      <b/>
      <sz val="14"/>
      <color theme="1"/>
      <name val="Calibri"/>
      <family val="2"/>
      <scheme val="minor"/>
    </font>
    <font>
      <sz val="11"/>
      <color theme="0" tint="-0.249977111117893"/>
      <name val="Calibri"/>
      <family val="2"/>
      <charset val="186"/>
      <scheme val="minor"/>
    </font>
    <font>
      <i/>
      <sz val="11"/>
      <color theme="1"/>
      <name val="Calibri"/>
      <family val="2"/>
      <scheme val="minor"/>
    </font>
    <font>
      <sz val="11"/>
      <name val="Verdana"/>
      <family val="2"/>
    </font>
    <font>
      <sz val="11"/>
      <name val="Calibri"/>
      <family val="2"/>
      <charset val="186"/>
      <scheme val="minor"/>
    </font>
    <font>
      <sz val="11"/>
      <color rgb="FFFF0000"/>
      <name val="Calibri"/>
      <family val="2"/>
      <scheme val="minor"/>
    </font>
    <font>
      <sz val="8"/>
      <color theme="1"/>
      <name val="Verdana"/>
      <family val="2"/>
    </font>
    <font>
      <sz val="9"/>
      <color theme="1"/>
      <name val="Verdana"/>
      <family val="2"/>
    </font>
    <font>
      <sz val="6"/>
      <color theme="1"/>
      <name val="Verdana"/>
      <family val="2"/>
    </font>
    <font>
      <sz val="11"/>
      <color rgb="FF000000"/>
      <name val="Calibri"/>
      <family val="2"/>
    </font>
  </fonts>
  <fills count="19">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EB9C"/>
      </patternFill>
    </fill>
    <fill>
      <patternFill patternType="solid">
        <fgColor theme="0"/>
        <bgColor indexed="64"/>
      </patternFill>
    </fill>
    <fill>
      <patternFill patternType="solid">
        <fgColor rgb="FFFFFFFF"/>
        <bgColor indexed="64"/>
      </patternFill>
    </fill>
    <fill>
      <patternFill patternType="solid">
        <fgColor rgb="FFA5A5A5"/>
      </patternFill>
    </fill>
    <fill>
      <patternFill patternType="solid">
        <fgColor rgb="FFFFC7CE"/>
      </patternFill>
    </fill>
    <fill>
      <patternFill patternType="solid">
        <fgColor rgb="FFFF0000"/>
        <bgColor indexed="64"/>
      </patternFill>
    </fill>
    <fill>
      <patternFill patternType="lightTrellis"/>
    </fill>
    <fill>
      <patternFill patternType="solid">
        <fgColor rgb="FF92D050"/>
        <bgColor indexed="64"/>
      </patternFill>
    </fill>
    <fill>
      <patternFill patternType="solid">
        <fgColor rgb="FF7030A0"/>
        <bgColor indexed="64"/>
      </patternFill>
    </fill>
    <fill>
      <patternFill patternType="solid">
        <fgColor rgb="FF0070C0"/>
        <bgColor indexed="64"/>
      </patternFill>
    </fill>
    <fill>
      <patternFill patternType="solid">
        <fgColor theme="0" tint="-0.34998626667073579"/>
        <bgColor indexed="64"/>
      </patternFill>
    </fill>
    <fill>
      <patternFill patternType="solid">
        <fgColor rgb="FFC6EFCE"/>
      </patternFill>
    </fill>
    <fill>
      <patternFill patternType="darkGrid">
        <bgColor theme="0" tint="-0.249977111117893"/>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ouble">
        <color rgb="FF3F3F3F"/>
      </right>
      <top style="medium">
        <color indexed="64"/>
      </top>
      <bottom style="medium">
        <color indexed="64"/>
      </bottom>
      <diagonal/>
    </border>
    <border>
      <left style="double">
        <color rgb="FF3F3F3F"/>
      </left>
      <right style="double">
        <color rgb="FF3F3F3F"/>
      </right>
      <top style="medium">
        <color indexed="64"/>
      </top>
      <bottom style="medium">
        <color indexed="64"/>
      </bottom>
      <diagonal/>
    </border>
    <border>
      <left style="double">
        <color rgb="FF3F3F3F"/>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10" fillId="6" borderId="0" applyNumberFormat="0" applyBorder="0" applyAlignment="0" applyProtection="0"/>
    <xf numFmtId="0" fontId="16" fillId="9" borderId="15" applyNumberFormat="0" applyAlignment="0" applyProtection="0"/>
    <xf numFmtId="0" fontId="25" fillId="10" borderId="0" applyNumberFormat="0" applyBorder="0" applyAlignment="0" applyProtection="0"/>
    <xf numFmtId="0" fontId="34" fillId="17" borderId="0" applyNumberFormat="0" applyBorder="0" applyAlignment="0" applyProtection="0"/>
  </cellStyleXfs>
  <cellXfs count="199">
    <xf numFmtId="0" fontId="0" fillId="0" borderId="0" xfId="0"/>
    <xf numFmtId="0" fontId="0" fillId="0" borderId="1" xfId="0" applyBorder="1"/>
    <xf numFmtId="0" fontId="0" fillId="0" borderId="0" xfId="0" applyAlignment="1">
      <alignment wrapText="1"/>
    </xf>
    <xf numFmtId="0" fontId="4" fillId="0" borderId="0" xfId="0" applyFont="1"/>
    <xf numFmtId="0" fontId="0" fillId="0" borderId="0" xfId="0" quotePrefix="1"/>
    <xf numFmtId="167" fontId="0" fillId="0" borderId="0" xfId="0" applyNumberFormat="1"/>
    <xf numFmtId="0" fontId="0" fillId="0" borderId="16" xfId="0" applyBorder="1"/>
    <xf numFmtId="0" fontId="0" fillId="0" borderId="17" xfId="0" applyBorder="1"/>
    <xf numFmtId="0" fontId="0" fillId="0" borderId="18" xfId="0" applyBorder="1"/>
    <xf numFmtId="0" fontId="0" fillId="0" borderId="19" xfId="0" applyBorder="1"/>
    <xf numFmtId="0" fontId="0" fillId="12" borderId="0" xfId="0" applyFill="1" applyAlignment="1">
      <alignment horizontal="center" vertical="center"/>
    </xf>
    <xf numFmtId="0" fontId="0" fillId="0" borderId="20" xfId="0" applyBorder="1"/>
    <xf numFmtId="0" fontId="0" fillId="11" borderId="0" xfId="0" applyFill="1"/>
    <xf numFmtId="0" fontId="0" fillId="0" borderId="0" xfId="0" applyAlignment="1">
      <alignment horizontal="left" vertical="top" wrapText="1"/>
    </xf>
    <xf numFmtId="0" fontId="0" fillId="13" borderId="0" xfId="0" applyFill="1"/>
    <xf numFmtId="0" fontId="0" fillId="3" borderId="0" xfId="0" applyFill="1" applyAlignment="1">
      <alignment horizontal="center"/>
    </xf>
    <xf numFmtId="2" fontId="26" fillId="10" borderId="0" xfId="6" applyNumberFormat="1" applyFont="1" applyBorder="1" applyAlignment="1">
      <alignment horizontal="center" vertical="center"/>
    </xf>
    <xf numFmtId="0" fontId="0" fillId="2" borderId="0" xfId="0" applyFill="1" applyAlignment="1">
      <alignment horizontal="center"/>
    </xf>
    <xf numFmtId="0" fontId="0" fillId="4" borderId="0" xfId="0" applyFill="1"/>
    <xf numFmtId="0" fontId="0" fillId="0" borderId="21" xfId="0" applyBorder="1"/>
    <xf numFmtId="0" fontId="0" fillId="0" borderId="22" xfId="0" applyBorder="1"/>
    <xf numFmtId="0" fontId="0" fillId="0" borderId="23" xfId="0" applyBorder="1"/>
    <xf numFmtId="165" fontId="0" fillId="0" borderId="0" xfId="0" applyNumberFormat="1"/>
    <xf numFmtId="9" fontId="7" fillId="0" borderId="0" xfId="2" applyFont="1" applyBorder="1" applyAlignment="1" applyProtection="1">
      <alignment horizontal="center" vertical="center" shrinkToFit="1"/>
      <protection locked="0"/>
    </xf>
    <xf numFmtId="168" fontId="7" fillId="0" borderId="0" xfId="1" applyNumberFormat="1" applyFont="1" applyBorder="1" applyAlignment="1" applyProtection="1">
      <alignment horizontal="center" vertical="center" shrinkToFit="1"/>
      <protection locked="0"/>
    </xf>
    <xf numFmtId="168" fontId="0" fillId="0" borderId="0" xfId="0" applyNumberFormat="1"/>
    <xf numFmtId="165" fontId="7" fillId="0" borderId="0" xfId="1" applyNumberFormat="1" applyFont="1" applyBorder="1" applyAlignment="1" applyProtection="1">
      <alignment horizontal="center" vertical="center" shrinkToFit="1"/>
      <protection locked="0"/>
    </xf>
    <xf numFmtId="0" fontId="14" fillId="8" borderId="0" xfId="0" applyFont="1" applyFill="1" applyAlignment="1">
      <alignment vertical="center" wrapText="1"/>
    </xf>
    <xf numFmtId="0" fontId="15" fillId="8" borderId="0" xfId="0" applyFont="1" applyFill="1" applyAlignment="1">
      <alignment vertical="center" wrapText="1"/>
    </xf>
    <xf numFmtId="0" fontId="29" fillId="0" borderId="0" xfId="0" applyFont="1"/>
    <xf numFmtId="0" fontId="30" fillId="0" borderId="0" xfId="0" applyFont="1"/>
    <xf numFmtId="0" fontId="30" fillId="4" borderId="0" xfId="0" applyFont="1" applyFill="1"/>
    <xf numFmtId="0" fontId="30" fillId="3" borderId="0" xfId="0" applyFont="1" applyFill="1"/>
    <xf numFmtId="0" fontId="30" fillId="15" borderId="0" xfId="0" applyFont="1" applyFill="1"/>
    <xf numFmtId="0" fontId="30" fillId="14" borderId="0" xfId="0" applyFont="1" applyFill="1"/>
    <xf numFmtId="0" fontId="30" fillId="11" borderId="0" xfId="0" applyFont="1" applyFill="1"/>
    <xf numFmtId="0" fontId="25" fillId="10" borderId="0" xfId="6" applyBorder="1"/>
    <xf numFmtId="165" fontId="31" fillId="0" borderId="0" xfId="1" applyNumberFormat="1" applyFont="1" applyBorder="1" applyAlignment="1" applyProtection="1">
      <alignment horizontal="center" vertical="center" shrinkToFit="1"/>
      <protection locked="0"/>
    </xf>
    <xf numFmtId="0" fontId="32" fillId="0" borderId="0" xfId="0" applyFont="1"/>
    <xf numFmtId="0" fontId="32" fillId="0" borderId="0" xfId="0" applyFont="1" applyAlignment="1">
      <alignment horizontal="center" vertical="center"/>
    </xf>
    <xf numFmtId="0" fontId="19" fillId="0" borderId="1" xfId="0" applyFont="1" applyBorder="1" applyAlignment="1" applyProtection="1">
      <alignment horizontal="center" vertical="center"/>
      <protection locked="0"/>
    </xf>
    <xf numFmtId="2" fontId="0" fillId="0" borderId="0" xfId="0" applyNumberFormat="1"/>
    <xf numFmtId="10" fontId="0" fillId="0" borderId="0" xfId="2" applyNumberFormat="1" applyFont="1" applyProtection="1"/>
    <xf numFmtId="0" fontId="36" fillId="2" borderId="0" xfId="0" applyFont="1" applyFill="1"/>
    <xf numFmtId="0" fontId="36" fillId="2" borderId="0" xfId="0" applyFont="1" applyFill="1" applyAlignment="1">
      <alignment horizontal="left" vertical="center"/>
    </xf>
    <xf numFmtId="0" fontId="0" fillId="2" borderId="0" xfId="0" applyFill="1"/>
    <xf numFmtId="0" fontId="4" fillId="2" borderId="1" xfId="0" applyFont="1" applyFill="1" applyBorder="1" applyAlignment="1">
      <alignment horizontal="center"/>
    </xf>
    <xf numFmtId="0" fontId="0" fillId="18" borderId="1" xfId="0" applyFill="1" applyBorder="1" applyAlignment="1">
      <alignment horizontal="center"/>
    </xf>
    <xf numFmtId="10" fontId="0" fillId="2" borderId="1" xfId="2" applyNumberFormat="1" applyFont="1" applyFill="1" applyBorder="1" applyAlignment="1" applyProtection="1">
      <alignment horizontal="center"/>
    </xf>
    <xf numFmtId="10" fontId="0" fillId="2" borderId="0" xfId="2" applyNumberFormat="1" applyFont="1" applyFill="1" applyBorder="1" applyAlignment="1" applyProtection="1">
      <alignment horizontal="center"/>
    </xf>
    <xf numFmtId="0" fontId="6" fillId="2" borderId="0" xfId="0" applyFont="1" applyFill="1"/>
    <xf numFmtId="2" fontId="21" fillId="2" borderId="1" xfId="0" applyNumberFormat="1" applyFont="1" applyFill="1" applyBorder="1" applyAlignment="1">
      <alignment horizontal="center" vertical="center"/>
    </xf>
    <xf numFmtId="2" fontId="21" fillId="5" borderId="12" xfId="0" applyNumberFormat="1" applyFont="1" applyFill="1" applyBorder="1"/>
    <xf numFmtId="2" fontId="21" fillId="5" borderId="9" xfId="0" applyNumberFormat="1" applyFont="1" applyFill="1" applyBorder="1"/>
    <xf numFmtId="2" fontId="21" fillId="5" borderId="13" xfId="0" applyNumberFormat="1" applyFont="1" applyFill="1" applyBorder="1"/>
    <xf numFmtId="2" fontId="21" fillId="5" borderId="0" xfId="0" applyNumberFormat="1" applyFont="1" applyFill="1"/>
    <xf numFmtId="2" fontId="5" fillId="5" borderId="14" xfId="0" applyNumberFormat="1" applyFont="1" applyFill="1" applyBorder="1"/>
    <xf numFmtId="2" fontId="5" fillId="5" borderId="11" xfId="0" applyNumberFormat="1" applyFont="1" applyFill="1" applyBorder="1"/>
    <xf numFmtId="164" fontId="4" fillId="0" borderId="1" xfId="0" applyNumberFormat="1" applyFont="1" applyBorder="1" applyAlignment="1">
      <alignment horizontal="center" vertical="center" shrinkToFit="1"/>
    </xf>
    <xf numFmtId="164" fontId="0" fillId="0" borderId="1" xfId="0" applyNumberFormat="1" applyBorder="1" applyAlignment="1">
      <alignment horizontal="center" vertical="center" shrinkToFit="1"/>
    </xf>
    <xf numFmtId="164" fontId="0" fillId="16" borderId="1" xfId="0" applyNumberFormat="1" applyFill="1" applyBorder="1" applyAlignment="1">
      <alignment horizontal="center" vertical="center" shrinkToFit="1"/>
    </xf>
    <xf numFmtId="9" fontId="4" fillId="16" borderId="1" xfId="2" applyFont="1" applyFill="1" applyBorder="1" applyAlignment="1" applyProtection="1">
      <alignment horizontal="center" vertical="center" shrinkToFit="1"/>
    </xf>
    <xf numFmtId="0" fontId="0" fillId="0" borderId="0" xfId="0" applyAlignment="1">
      <alignment horizontal="center"/>
    </xf>
    <xf numFmtId="2" fontId="0" fillId="0" borderId="1" xfId="0" applyNumberFormat="1" applyBorder="1"/>
    <xf numFmtId="164" fontId="0" fillId="0" borderId="1" xfId="0" applyNumberFormat="1" applyBorder="1"/>
    <xf numFmtId="0" fontId="4" fillId="0" borderId="1" xfId="0" applyFont="1" applyBorder="1" applyAlignment="1">
      <alignment horizontal="center"/>
    </xf>
    <xf numFmtId="2" fontId="4" fillId="0" borderId="1" xfId="0" applyNumberFormat="1" applyFont="1" applyBorder="1" applyAlignment="1">
      <alignment horizontal="center"/>
    </xf>
    <xf numFmtId="2" fontId="4" fillId="0" borderId="1" xfId="0" applyNumberFormat="1" applyFont="1" applyBorder="1" applyAlignment="1">
      <alignment horizontal="center" wrapText="1"/>
    </xf>
    <xf numFmtId="10" fontId="4" fillId="0" borderId="3" xfId="2" applyNumberFormat="1" applyFont="1" applyFill="1" applyBorder="1" applyAlignment="1" applyProtection="1">
      <alignment horizontal="center"/>
    </xf>
    <xf numFmtId="0" fontId="4" fillId="0" borderId="3" xfId="0" applyFont="1" applyBorder="1" applyAlignment="1">
      <alignment horizontal="center"/>
    </xf>
    <xf numFmtId="0" fontId="4" fillId="0" borderId="13" xfId="0" applyFont="1" applyBorder="1" applyAlignment="1">
      <alignment horizontal="center"/>
    </xf>
    <xf numFmtId="166" fontId="0" fillId="0" borderId="1" xfId="0" applyNumberFormat="1" applyBorder="1" applyAlignment="1">
      <alignment horizontal="center" vertical="center"/>
    </xf>
    <xf numFmtId="10" fontId="0" fillId="0" borderId="1" xfId="2" applyNumberFormat="1" applyFont="1" applyBorder="1" applyProtection="1"/>
    <xf numFmtId="2" fontId="0" fillId="0" borderId="1" xfId="2" applyNumberFormat="1" applyFont="1" applyFill="1" applyBorder="1" applyProtection="1"/>
    <xf numFmtId="0" fontId="0" fillId="0" borderId="0" xfId="0" applyAlignment="1">
      <alignment horizontal="center" vertical="center"/>
    </xf>
    <xf numFmtId="9" fontId="0" fillId="0" borderId="0" xfId="2" applyFont="1" applyProtection="1"/>
    <xf numFmtId="2" fontId="0" fillId="3" borderId="1" xfId="0" applyNumberFormat="1" applyFill="1" applyBorder="1"/>
    <xf numFmtId="0" fontId="0" fillId="4" borderId="1" xfId="0" applyFill="1" applyBorder="1"/>
    <xf numFmtId="2" fontId="0" fillId="4" borderId="1" xfId="0" applyNumberFormat="1" applyFill="1" applyBorder="1"/>
    <xf numFmtId="0" fontId="11" fillId="4" borderId="1" xfId="0" applyFont="1" applyFill="1" applyBorder="1"/>
    <xf numFmtId="0" fontId="10" fillId="6" borderId="1" xfId="4" applyBorder="1" applyProtection="1"/>
    <xf numFmtId="2" fontId="0" fillId="0" borderId="1" xfId="2" applyNumberFormat="1" applyFont="1" applyBorder="1" applyProtection="1"/>
    <xf numFmtId="0" fontId="8" fillId="0" borderId="1" xfId="3" applyBorder="1" applyProtection="1"/>
    <xf numFmtId="0" fontId="8" fillId="0" borderId="0" xfId="3" applyBorder="1" applyProtection="1"/>
    <xf numFmtId="0" fontId="0" fillId="0" borderId="2" xfId="0" applyBorder="1"/>
    <xf numFmtId="10" fontId="0" fillId="0" borderId="2" xfId="2" applyNumberFormat="1" applyFont="1" applyBorder="1" applyProtection="1"/>
    <xf numFmtId="2" fontId="0" fillId="0" borderId="2" xfId="0" applyNumberFormat="1" applyBorder="1"/>
    <xf numFmtId="10" fontId="0" fillId="0" borderId="0" xfId="2" applyNumberFormat="1" applyFont="1" applyBorder="1" applyProtection="1"/>
    <xf numFmtId="9" fontId="0" fillId="0" borderId="0" xfId="2" applyFont="1" applyBorder="1" applyProtection="1"/>
    <xf numFmtId="0" fontId="0" fillId="0" borderId="1" xfId="0" applyBorder="1" applyAlignment="1">
      <alignment horizontal="left" vertical="center"/>
    </xf>
    <xf numFmtId="0" fontId="0" fillId="0" borderId="1" xfId="0" applyBorder="1" applyAlignment="1">
      <alignment horizontal="center" vertical="center"/>
    </xf>
    <xf numFmtId="0" fontId="0" fillId="5" borderId="1" xfId="0" applyFill="1" applyBorder="1" applyAlignment="1">
      <alignment horizontal="left" vertical="center"/>
    </xf>
    <xf numFmtId="2" fontId="0" fillId="0" borderId="4" xfId="0" applyNumberFormat="1" applyBorder="1"/>
    <xf numFmtId="0" fontId="33" fillId="16" borderId="19" xfId="0" applyFont="1" applyFill="1" applyBorder="1" applyAlignment="1">
      <alignment horizontal="center"/>
    </xf>
    <xf numFmtId="0" fontId="19" fillId="16" borderId="0" xfId="0" applyFont="1" applyFill="1"/>
    <xf numFmtId="0" fontId="33" fillId="16" borderId="19" xfId="0" applyFont="1" applyFill="1" applyBorder="1"/>
    <xf numFmtId="0" fontId="33" fillId="16" borderId="21" xfId="0" applyFont="1" applyFill="1" applyBorder="1"/>
    <xf numFmtId="0" fontId="19" fillId="16" borderId="22" xfId="0" applyFont="1" applyFill="1" applyBorder="1"/>
    <xf numFmtId="0" fontId="4" fillId="16" borderId="2" xfId="2" applyNumberFormat="1" applyFont="1" applyFill="1" applyBorder="1" applyAlignment="1" applyProtection="1">
      <alignment horizontal="center" vertical="center" shrinkToFit="1"/>
    </xf>
    <xf numFmtId="0" fontId="4" fillId="16" borderId="27" xfId="2" applyNumberFormat="1" applyFont="1" applyFill="1" applyBorder="1" applyAlignment="1" applyProtection="1">
      <alignment horizontal="center" vertical="center" shrinkToFit="1"/>
    </xf>
    <xf numFmtId="0" fontId="19" fillId="0" borderId="1" xfId="0" applyFont="1" applyBorder="1" applyAlignment="1">
      <alignment vertical="center"/>
    </xf>
    <xf numFmtId="0" fontId="23" fillId="0" borderId="1" xfId="0" applyFont="1" applyBorder="1" applyAlignment="1">
      <alignment vertical="center"/>
    </xf>
    <xf numFmtId="0" fontId="19" fillId="0" borderId="1" xfId="0" applyFont="1" applyBorder="1"/>
    <xf numFmtId="0" fontId="0" fillId="7" borderId="1" xfId="0" applyFill="1" applyBorder="1" applyAlignment="1">
      <alignment wrapText="1"/>
    </xf>
    <xf numFmtId="0" fontId="0" fillId="0" borderId="1" xfId="0" applyBorder="1" applyAlignment="1">
      <alignment wrapText="1"/>
    </xf>
    <xf numFmtId="166" fontId="0" fillId="0" borderId="1" xfId="0" applyNumberFormat="1" applyBorder="1" applyAlignment="1">
      <alignment horizontal="left" vertical="center" wrapText="1"/>
    </xf>
    <xf numFmtId="0" fontId="8" fillId="0" borderId="1" xfId="3" applyBorder="1" applyAlignment="1" applyProtection="1">
      <alignment wrapText="1"/>
    </xf>
    <xf numFmtId="166" fontId="0" fillId="0" borderId="1" xfId="0" applyNumberFormat="1" applyBorder="1" applyAlignment="1">
      <alignment horizontal="center" vertical="center" wrapText="1"/>
    </xf>
    <xf numFmtId="0" fontId="25" fillId="10" borderId="1" xfId="6" applyBorder="1" applyProtection="1"/>
    <xf numFmtId="0" fontId="23" fillId="3" borderId="1" xfId="0" applyFont="1" applyFill="1" applyBorder="1" applyAlignment="1">
      <alignment vertical="center"/>
    </xf>
    <xf numFmtId="166" fontId="0" fillId="0" borderId="1" xfId="0" applyNumberFormat="1" applyBorder="1" applyAlignment="1">
      <alignment horizontal="left" vertical="top" wrapText="1"/>
    </xf>
    <xf numFmtId="0" fontId="0" fillId="7" borderId="1" xfId="0" applyFill="1" applyBorder="1"/>
    <xf numFmtId="0" fontId="34" fillId="17" borderId="1" xfId="7" applyBorder="1" applyAlignment="1" applyProtection="1">
      <alignment vertical="center"/>
    </xf>
    <xf numFmtId="0" fontId="27" fillId="0" borderId="1" xfId="0" applyFont="1" applyBorder="1" applyAlignment="1">
      <alignment vertical="center"/>
    </xf>
    <xf numFmtId="0" fontId="28" fillId="0" borderId="1" xfId="0" applyFont="1" applyBorder="1"/>
    <xf numFmtId="0" fontId="6" fillId="0" borderId="1" xfId="0" applyFont="1" applyBorder="1"/>
    <xf numFmtId="0" fontId="19" fillId="16" borderId="19" xfId="0" applyFont="1" applyFill="1" applyBorder="1" applyAlignment="1">
      <alignment horizontal="center" vertical="center"/>
    </xf>
    <xf numFmtId="10" fontId="0" fillId="2" borderId="0" xfId="2" applyNumberFormat="1" applyFont="1" applyFill="1" applyProtection="1"/>
    <xf numFmtId="44" fontId="0" fillId="2" borderId="0" xfId="0" applyNumberFormat="1" applyFill="1"/>
    <xf numFmtId="0" fontId="19" fillId="2" borderId="0" xfId="0" applyFont="1" applyFill="1"/>
    <xf numFmtId="0" fontId="33" fillId="2" borderId="0" xfId="0" applyFont="1" applyFill="1"/>
    <xf numFmtId="0" fontId="22" fillId="2" borderId="0" xfId="0" applyFont="1" applyFill="1" applyAlignment="1">
      <alignment horizontal="center"/>
    </xf>
    <xf numFmtId="0" fontId="19" fillId="0" borderId="4" xfId="0" applyFont="1" applyBorder="1" applyAlignment="1" applyProtection="1">
      <alignment horizontal="center" vertical="center" shrinkToFit="1"/>
      <protection locked="0"/>
    </xf>
    <xf numFmtId="165" fontId="20" fillId="0" borderId="4" xfId="1" applyNumberFormat="1" applyFont="1" applyBorder="1" applyAlignment="1" applyProtection="1">
      <alignment horizontal="center" vertical="center" shrinkToFit="1"/>
      <protection locked="0"/>
    </xf>
    <xf numFmtId="0" fontId="18" fillId="9" borderId="31" xfId="5" applyFont="1" applyBorder="1" applyAlignment="1" applyProtection="1">
      <alignment horizontal="center" vertical="center" shrinkToFit="1"/>
    </xf>
    <xf numFmtId="0" fontId="18" fillId="9" borderId="32" xfId="5" applyFont="1" applyBorder="1" applyAlignment="1" applyProtection="1">
      <alignment horizontal="center" vertical="center"/>
    </xf>
    <xf numFmtId="0" fontId="18" fillId="9" borderId="32" xfId="5" applyFont="1" applyBorder="1" applyAlignment="1" applyProtection="1">
      <alignment horizontal="center" vertical="center" wrapText="1"/>
    </xf>
    <xf numFmtId="9" fontId="4" fillId="2" borderId="0" xfId="2" applyFont="1" applyFill="1" applyBorder="1" applyAlignment="1" applyProtection="1">
      <alignment horizontal="center" vertical="center" shrinkToFit="1"/>
    </xf>
    <xf numFmtId="0" fontId="0" fillId="7" borderId="30" xfId="0" applyFill="1" applyBorder="1" applyAlignment="1">
      <alignment horizontal="center"/>
    </xf>
    <xf numFmtId="0" fontId="24" fillId="9" borderId="33" xfId="5" applyFont="1" applyBorder="1" applyAlignment="1" applyProtection="1">
      <alignment horizontal="center" vertical="center" wrapText="1"/>
    </xf>
    <xf numFmtId="0" fontId="19" fillId="0" borderId="34" xfId="0" applyFont="1" applyBorder="1" applyAlignment="1" applyProtection="1">
      <alignment horizontal="center" vertical="center"/>
      <protection locked="0"/>
    </xf>
    <xf numFmtId="2" fontId="21" fillId="2" borderId="34" xfId="0" applyNumberFormat="1" applyFont="1" applyFill="1" applyBorder="1" applyAlignment="1">
      <alignment horizontal="center" vertical="center"/>
    </xf>
    <xf numFmtId="2" fontId="21" fillId="5" borderId="36" xfId="0" applyNumberFormat="1" applyFont="1" applyFill="1" applyBorder="1"/>
    <xf numFmtId="2" fontId="21" fillId="5" borderId="20" xfId="0" applyNumberFormat="1" applyFont="1" applyFill="1" applyBorder="1"/>
    <xf numFmtId="2" fontId="5" fillId="5" borderId="37" xfId="0" applyNumberFormat="1" applyFont="1" applyFill="1" applyBorder="1"/>
    <xf numFmtId="164" fontId="4" fillId="0" borderId="34" xfId="0" applyNumberFormat="1" applyFont="1" applyBorder="1" applyAlignment="1">
      <alignment horizontal="center" vertical="center" shrinkToFit="1"/>
    </xf>
    <xf numFmtId="164" fontId="0" fillId="0" borderId="34" xfId="0" applyNumberFormat="1" applyBorder="1" applyAlignment="1">
      <alignment horizontal="center" vertical="center" shrinkToFit="1"/>
    </xf>
    <xf numFmtId="164" fontId="0" fillId="16" borderId="34" xfId="0" applyNumberFormat="1" applyFill="1" applyBorder="1" applyAlignment="1">
      <alignment horizontal="center" vertical="center" shrinkToFit="1"/>
    </xf>
    <xf numFmtId="9" fontId="4" fillId="16" borderId="34" xfId="2" applyFont="1" applyFill="1" applyBorder="1" applyAlignment="1" applyProtection="1">
      <alignment horizontal="center" vertical="center" shrinkToFit="1"/>
    </xf>
    <xf numFmtId="0" fontId="4" fillId="16" borderId="39" xfId="2" applyNumberFormat="1" applyFont="1" applyFill="1" applyBorder="1" applyAlignment="1" applyProtection="1">
      <alignment horizontal="center" vertical="center" shrinkToFit="1"/>
    </xf>
    <xf numFmtId="0" fontId="4" fillId="16" borderId="40" xfId="2" applyNumberFormat="1" applyFont="1" applyFill="1" applyBorder="1" applyAlignment="1" applyProtection="1">
      <alignment horizontal="center" vertical="center" shrinkToFit="1"/>
    </xf>
    <xf numFmtId="0" fontId="39" fillId="2" borderId="1" xfId="0" applyFont="1" applyFill="1" applyBorder="1"/>
    <xf numFmtId="0" fontId="19" fillId="0" borderId="26" xfId="0" applyFont="1" applyBorder="1" applyAlignment="1" applyProtection="1">
      <alignment horizontal="center" vertical="center"/>
      <protection locked="0"/>
    </xf>
    <xf numFmtId="0" fontId="19" fillId="0" borderId="4" xfId="0" applyFont="1" applyBorder="1" applyAlignment="1" applyProtection="1">
      <alignment horizontal="center" vertical="center" wrapText="1"/>
      <protection locked="0"/>
    </xf>
    <xf numFmtId="0" fontId="19" fillId="2" borderId="4" xfId="0" applyFont="1" applyFill="1" applyBorder="1" applyAlignment="1">
      <alignment horizontal="center" vertical="center"/>
    </xf>
    <xf numFmtId="0" fontId="0" fillId="7" borderId="28" xfId="0" applyFill="1" applyBorder="1"/>
    <xf numFmtId="0" fontId="0" fillId="7" borderId="29" xfId="0" applyFill="1" applyBorder="1"/>
    <xf numFmtId="0" fontId="0" fillId="7" borderId="29" xfId="0" applyFill="1" applyBorder="1" applyAlignment="1">
      <alignment horizontal="center"/>
    </xf>
    <xf numFmtId="0" fontId="2" fillId="7" borderId="29" xfId="0" applyFont="1" applyFill="1" applyBorder="1" applyAlignment="1">
      <alignment horizontal="center"/>
    </xf>
    <xf numFmtId="2" fontId="21" fillId="16" borderId="1" xfId="0" applyNumberFormat="1" applyFont="1" applyFill="1" applyBorder="1" applyAlignment="1">
      <alignment horizontal="center" vertical="center"/>
    </xf>
    <xf numFmtId="2" fontId="21" fillId="16" borderId="34" xfId="0" applyNumberFormat="1" applyFont="1" applyFill="1" applyBorder="1" applyAlignment="1">
      <alignment horizontal="center" vertical="center"/>
    </xf>
    <xf numFmtId="10" fontId="40" fillId="0" borderId="0" xfId="0" applyNumberFormat="1" applyFont="1"/>
    <xf numFmtId="0" fontId="40" fillId="0" borderId="0" xfId="0" applyFont="1"/>
    <xf numFmtId="2" fontId="0" fillId="2" borderId="0" xfId="0" applyNumberFormat="1" applyFill="1"/>
    <xf numFmtId="164" fontId="0" fillId="2" borderId="0" xfId="0" applyNumberFormat="1" applyFill="1"/>
    <xf numFmtId="164" fontId="4" fillId="16" borderId="2" xfId="2" applyNumberFormat="1" applyFont="1" applyFill="1" applyBorder="1" applyAlignment="1" applyProtection="1">
      <alignment horizontal="center" vertical="center" shrinkToFit="1"/>
    </xf>
    <xf numFmtId="10" fontId="4" fillId="16" borderId="1" xfId="2" applyNumberFormat="1" applyFont="1" applyFill="1" applyBorder="1" applyAlignment="1" applyProtection="1">
      <alignment horizontal="center" vertical="center" shrinkToFit="1"/>
    </xf>
    <xf numFmtId="2" fontId="42" fillId="0" borderId="4" xfId="0" applyNumberFormat="1" applyFont="1" applyBorder="1" applyAlignment="1" applyProtection="1">
      <alignment horizontal="center" vertical="center"/>
      <protection locked="0"/>
    </xf>
    <xf numFmtId="0" fontId="0" fillId="0" borderId="0" xfId="0" applyAlignment="1">
      <alignment horizontal="left" wrapText="1"/>
    </xf>
    <xf numFmtId="0" fontId="0" fillId="0" borderId="0" xfId="0" applyAlignment="1">
      <alignment horizontal="left" vertical="top" wrapText="1"/>
    </xf>
    <xf numFmtId="0" fontId="0" fillId="0" borderId="22" xfId="0" applyBorder="1" applyAlignment="1">
      <alignment horizontal="left" vertical="top" wrapText="1"/>
    </xf>
    <xf numFmtId="0" fontId="0" fillId="0" borderId="0" xfId="0" applyAlignment="1">
      <alignment horizontal="center" wrapText="1"/>
    </xf>
    <xf numFmtId="0" fontId="19" fillId="0" borderId="2"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22" fillId="16" borderId="1" xfId="0" applyFont="1" applyFill="1" applyBorder="1" applyAlignment="1">
      <alignment horizontal="center" vertical="center"/>
    </xf>
    <xf numFmtId="0" fontId="19" fillId="0" borderId="1" xfId="0" applyFont="1" applyBorder="1" applyAlignment="1" applyProtection="1">
      <alignment horizontal="center" vertical="center"/>
      <protection locked="0"/>
    </xf>
    <xf numFmtId="2" fontId="19" fillId="0" borderId="7" xfId="0" applyNumberFormat="1" applyFont="1" applyBorder="1" applyAlignment="1" applyProtection="1">
      <alignment horizontal="center" vertical="center"/>
      <protection locked="0"/>
    </xf>
    <xf numFmtId="2" fontId="19" fillId="0" borderId="8" xfId="0" applyNumberFormat="1" applyFont="1" applyBorder="1" applyAlignment="1" applyProtection="1">
      <alignment horizontal="center" vertical="center"/>
      <protection locked="0"/>
    </xf>
    <xf numFmtId="0" fontId="22" fillId="16" borderId="7" xfId="0" applyFont="1" applyFill="1" applyBorder="1" applyAlignment="1">
      <alignment horizontal="center" vertical="center"/>
    </xf>
    <xf numFmtId="0" fontId="22" fillId="16" borderId="8" xfId="0" applyFont="1" applyFill="1" applyBorder="1" applyAlignment="1">
      <alignment horizontal="center" vertical="center"/>
    </xf>
    <xf numFmtId="0" fontId="19" fillId="0" borderId="25"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43" fillId="0" borderId="2" xfId="0" applyFont="1" applyBorder="1" applyAlignment="1" applyProtection="1">
      <alignment horizontal="center" vertical="center" wrapText="1" shrinkToFit="1"/>
      <protection locked="0"/>
    </xf>
    <xf numFmtId="0" fontId="43" fillId="0" borderId="4" xfId="0" applyFont="1" applyBorder="1" applyAlignment="1" applyProtection="1">
      <alignment horizontal="center" vertical="center" wrapText="1" shrinkToFit="1"/>
      <protection locked="0"/>
    </xf>
    <xf numFmtId="0" fontId="19" fillId="16" borderId="1" xfId="0" applyFont="1" applyFill="1" applyBorder="1" applyAlignment="1">
      <alignment horizontal="right" vertical="center" wrapText="1"/>
    </xf>
    <xf numFmtId="0" fontId="41" fillId="0" borderId="2" xfId="0" applyFont="1" applyBorder="1" applyAlignment="1" applyProtection="1">
      <alignment horizontal="center" vertical="center" wrapText="1" shrinkToFit="1"/>
      <protection locked="0"/>
    </xf>
    <xf numFmtId="0" fontId="41" fillId="0" borderId="4" xfId="0" applyFont="1" applyBorder="1" applyAlignment="1" applyProtection="1">
      <alignment horizontal="center" vertical="center" wrapText="1" shrinkToFit="1"/>
      <protection locked="0"/>
    </xf>
    <xf numFmtId="0" fontId="19" fillId="0" borderId="2"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38" fillId="16" borderId="35" xfId="0" applyFont="1" applyFill="1" applyBorder="1" applyAlignment="1">
      <alignment horizontal="center" vertical="center"/>
    </xf>
    <xf numFmtId="0" fontId="19" fillId="0" borderId="3" xfId="0" applyFont="1" applyBorder="1" applyAlignment="1" applyProtection="1">
      <alignment horizontal="center" vertical="center" wrapText="1"/>
      <protection locked="0"/>
    </xf>
    <xf numFmtId="0" fontId="0" fillId="7" borderId="2" xfId="0" applyFill="1" applyBorder="1" applyAlignment="1">
      <alignment horizontal="center"/>
    </xf>
    <xf numFmtId="0" fontId="0" fillId="7" borderId="3" xfId="0" applyFill="1" applyBorder="1" applyAlignment="1">
      <alignment horizontal="center"/>
    </xf>
    <xf numFmtId="0" fontId="0" fillId="7" borderId="4" xfId="0" applyFill="1" applyBorder="1" applyAlignment="1">
      <alignment horizontal="center"/>
    </xf>
    <xf numFmtId="0" fontId="0" fillId="2" borderId="0" xfId="0" applyFill="1" applyAlignment="1">
      <alignment horizontal="center"/>
    </xf>
    <xf numFmtId="0" fontId="0" fillId="7" borderId="29" xfId="0" applyFill="1" applyBorder="1" applyAlignment="1">
      <alignment horizontal="center"/>
    </xf>
    <xf numFmtId="0" fontId="22" fillId="16" borderId="24" xfId="0" applyFont="1" applyFill="1" applyBorder="1" applyAlignment="1">
      <alignment horizontal="center" vertical="center"/>
    </xf>
    <xf numFmtId="0" fontId="22" fillId="16" borderId="38" xfId="0" applyFont="1" applyFill="1" applyBorder="1" applyAlignment="1">
      <alignment horizontal="center" vertical="center"/>
    </xf>
    <xf numFmtId="0" fontId="0" fillId="7" borderId="5" xfId="0" applyFill="1" applyBorder="1" applyAlignment="1">
      <alignment horizontal="center"/>
    </xf>
    <xf numFmtId="0" fontId="0" fillId="7" borderId="6" xfId="0" applyFill="1" applyBorder="1" applyAlignment="1">
      <alignment horizontal="center"/>
    </xf>
    <xf numFmtId="0" fontId="0" fillId="7" borderId="10" xfId="0" applyFill="1" applyBorder="1" applyAlignment="1">
      <alignment horizontal="center"/>
    </xf>
    <xf numFmtId="164" fontId="35" fillId="16" borderId="7" xfId="0" applyNumberFormat="1" applyFont="1" applyFill="1" applyBorder="1" applyAlignment="1">
      <alignment horizontal="center" vertical="center" shrinkToFit="1"/>
    </xf>
    <xf numFmtId="164" fontId="35" fillId="16" borderId="24" xfId="0" applyNumberFormat="1" applyFont="1" applyFill="1" applyBorder="1" applyAlignment="1">
      <alignment horizontal="center" vertical="center" shrinkToFit="1"/>
    </xf>
    <xf numFmtId="164" fontId="35" fillId="16" borderId="38" xfId="0" applyNumberFormat="1" applyFont="1" applyFill="1" applyBorder="1" applyAlignment="1">
      <alignment horizontal="center" vertical="center" shrinkToFit="1"/>
    </xf>
    <xf numFmtId="0" fontId="22" fillId="16" borderId="27" xfId="0" applyFont="1" applyFill="1" applyBorder="1" applyAlignment="1">
      <alignment horizontal="center" vertical="center"/>
    </xf>
    <xf numFmtId="0" fontId="0" fillId="0" borderId="1" xfId="0" applyBorder="1" applyAlignment="1">
      <alignment horizontal="center" vertical="center"/>
    </xf>
    <xf numFmtId="0" fontId="17" fillId="0" borderId="0" xfId="0" applyFont="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cellXfs>
  <cellStyles count="8">
    <cellStyle name="Blogas" xfId="6" builtinId="27"/>
    <cellStyle name="Geras" xfId="7" builtinId="26"/>
    <cellStyle name="Hipersaitas" xfId="3" builtinId="8"/>
    <cellStyle name="Įprastas" xfId="0" builtinId="0"/>
    <cellStyle name="Neutralus" xfId="4" builtinId="28"/>
    <cellStyle name="Procentai" xfId="2" builtinId="5"/>
    <cellStyle name="Tikrinimo langelis" xfId="5" builtinId="23"/>
    <cellStyle name="Valiuta" xfId="1" builtinId="4"/>
  </cellStyles>
  <dxfs count="54">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rgb="FF00B050"/>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ill>
        <patternFill patternType="solid">
          <bgColor theme="0" tint="-0.24994659260841701"/>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92D050"/>
        </patternFill>
      </fill>
    </dxf>
    <dxf>
      <fill>
        <patternFill patternType="darkGrid"/>
      </fill>
      <border>
        <vertical/>
        <horizontal/>
      </border>
    </dxf>
    <dxf>
      <font>
        <color theme="0" tint="-0.34998626667073579"/>
      </font>
    </dxf>
    <dxf>
      <font>
        <color theme="0" tint="-0.34998626667073579"/>
      </font>
    </dxf>
    <dxf>
      <fill>
        <patternFill>
          <bgColor rgb="FF92D050"/>
        </patternFill>
      </fill>
    </dxf>
    <dxf>
      <fill>
        <patternFill patternType="darkGrid"/>
      </fill>
    </dxf>
    <dxf>
      <fill>
        <patternFill>
          <bgColor rgb="FFFF0000"/>
        </patternFill>
      </fill>
    </dxf>
    <dxf>
      <fill>
        <patternFill>
          <bgColor rgb="FFFF0000"/>
        </patternFill>
      </fill>
    </dxf>
    <dxf>
      <fill>
        <patternFill patternType="darkGrid"/>
      </fill>
    </dxf>
    <dxf>
      <fill>
        <patternFill>
          <bgColor rgb="FF92D050"/>
        </patternFill>
      </fill>
    </dxf>
    <dxf>
      <fill>
        <patternFill patternType="darkGrid"/>
      </fill>
    </dxf>
    <dxf>
      <fill>
        <patternFill>
          <bgColor rgb="FFFF0000"/>
        </patternFill>
      </fill>
    </dxf>
    <dxf>
      <fill>
        <patternFill>
          <fgColor rgb="FF92D050"/>
          <bgColor rgb="FF92D050"/>
        </patternFill>
      </fill>
    </dxf>
    <dxf>
      <fill>
        <patternFill patternType="darkGrid"/>
      </fill>
    </dxf>
    <dxf>
      <fill>
        <patternFill>
          <bgColor rgb="FFFF0000"/>
        </patternFill>
      </fill>
    </dxf>
    <dxf>
      <fill>
        <patternFill>
          <bgColor rgb="FF00B050"/>
        </patternFill>
      </fill>
    </dxf>
    <dxf>
      <fill>
        <patternFill>
          <bgColor rgb="FFFF0000"/>
        </patternFill>
      </fill>
    </dxf>
    <dxf>
      <fill>
        <patternFill patternType="darkGrid"/>
      </fill>
    </dxf>
    <dxf>
      <fill>
        <patternFill>
          <bgColor rgb="FF92D050"/>
        </patternFill>
      </fill>
    </dxf>
    <dxf>
      <fill>
        <patternFill>
          <bgColor rgb="FFFF0000"/>
        </patternFill>
      </fill>
    </dxf>
    <dxf>
      <fill>
        <patternFill>
          <bgColor rgb="FFFFFF00"/>
        </patternFill>
      </fill>
    </dxf>
    <dxf>
      <font>
        <color rgb="FF9C0006"/>
      </font>
      <fill>
        <patternFill>
          <bgColor rgb="FFFFC7CE"/>
        </patternFill>
      </fill>
    </dxf>
    <dxf>
      <fill>
        <patternFill>
          <bgColor rgb="FF00B050"/>
        </patternFill>
      </fill>
    </dxf>
    <dxf>
      <font>
        <b/>
        <i val="0"/>
        <color theme="2" tint="-0.499984740745262"/>
      </font>
    </dxf>
    <dxf>
      <font>
        <color theme="6" tint="0.39994506668294322"/>
      </font>
      <fill>
        <patternFill patternType="darkGrid">
          <bgColor auto="1"/>
        </patternFill>
      </fil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Indifference!$P$13</c:f>
              <c:strCache>
                <c:ptCount val="1"/>
                <c:pt idx="0">
                  <c:v>Kaina 20</c:v>
                </c:pt>
              </c:strCache>
            </c:strRef>
          </c:tx>
          <c:spPr>
            <a:ln w="28575" cap="rnd">
              <a:solidFill>
                <a:schemeClr val="accent4">
                  <a:lumMod val="60000"/>
                  <a:lumOff val="40000"/>
                </a:schemeClr>
              </a:solidFill>
              <a:round/>
            </a:ln>
            <a:effectLst/>
          </c:spPr>
          <c:marker>
            <c:symbol val="none"/>
          </c:marker>
          <c:xVal>
            <c:numRef>
              <c:f>Indifference!$Q$13:$Z$13</c:f>
              <c:numCache>
                <c:formatCode>General</c:formatCode>
                <c:ptCount val="10"/>
              </c:numCache>
            </c:numRef>
          </c:xVal>
          <c:yVal>
            <c:numRef>
              <c:f>Indifference!$Q$12:$Z$12</c:f>
              <c:numCache>
                <c:formatCode>#\ ##0.000_ ;\-#\ ##0.000\ </c:formatCode>
                <c:ptCount val="10"/>
              </c:numCache>
            </c:numRef>
          </c:yVal>
          <c:smooth val="1"/>
          <c:extLst>
            <c:ext xmlns:c16="http://schemas.microsoft.com/office/drawing/2014/chart" uri="{C3380CC4-5D6E-409C-BE32-E72D297353CC}">
              <c16:uniqueId val="{00000000-FDD4-4F0C-BAC3-7290F20AB4C3}"/>
            </c:ext>
          </c:extLst>
        </c:ser>
        <c:ser>
          <c:idx val="2"/>
          <c:order val="1"/>
          <c:tx>
            <c:strRef>
              <c:f>Indifference!$P$15</c:f>
              <c:strCache>
                <c:ptCount val="1"/>
                <c:pt idx="0">
                  <c:v>Kaina 40</c:v>
                </c:pt>
              </c:strCache>
            </c:strRef>
          </c:tx>
          <c:spPr>
            <a:ln w="28575" cap="rnd">
              <a:solidFill>
                <a:srgbClr val="00B050"/>
              </a:solidFill>
              <a:round/>
            </a:ln>
            <a:effectLst/>
          </c:spPr>
          <c:marker>
            <c:symbol val="none"/>
          </c:marker>
          <c:xVal>
            <c:numRef>
              <c:f>Indifference!$Q$15:$Z$15</c:f>
              <c:numCache>
                <c:formatCode>General</c:formatCode>
                <c:ptCount val="10"/>
              </c:numCache>
            </c:numRef>
          </c:xVal>
          <c:yVal>
            <c:numRef>
              <c:f>Indifference!$Q$14:$Z$14</c:f>
              <c:numCache>
                <c:formatCode>General</c:formatCode>
                <c:ptCount val="10"/>
              </c:numCache>
            </c:numRef>
          </c:yVal>
          <c:smooth val="1"/>
          <c:extLst>
            <c:ext xmlns:c16="http://schemas.microsoft.com/office/drawing/2014/chart" uri="{C3380CC4-5D6E-409C-BE32-E72D297353CC}">
              <c16:uniqueId val="{00000002-FDD4-4F0C-BAC3-7290F20AB4C3}"/>
            </c:ext>
          </c:extLst>
        </c:ser>
        <c:ser>
          <c:idx val="4"/>
          <c:order val="2"/>
          <c:tx>
            <c:strRef>
              <c:f>Indifference!$P$17</c:f>
              <c:strCache>
                <c:ptCount val="1"/>
                <c:pt idx="0">
                  <c:v>Kaina 50</c:v>
                </c:pt>
              </c:strCache>
            </c:strRef>
          </c:tx>
          <c:spPr>
            <a:ln w="28575" cap="rnd">
              <a:solidFill>
                <a:srgbClr val="0070C0"/>
              </a:solidFill>
              <a:round/>
            </a:ln>
            <a:effectLst/>
          </c:spPr>
          <c:marker>
            <c:symbol val="none"/>
          </c:marker>
          <c:xVal>
            <c:numRef>
              <c:f>Indifference!$Q$17:$Z$17</c:f>
              <c:numCache>
                <c:formatCode>General</c:formatCode>
                <c:ptCount val="10"/>
              </c:numCache>
            </c:numRef>
          </c:xVal>
          <c:yVal>
            <c:numRef>
              <c:f>Indifference!$Q$16:$Z$16</c:f>
              <c:numCache>
                <c:formatCode>General</c:formatCode>
                <c:ptCount val="10"/>
              </c:numCache>
            </c:numRef>
          </c:yVal>
          <c:smooth val="1"/>
          <c:extLst>
            <c:ext xmlns:c16="http://schemas.microsoft.com/office/drawing/2014/chart" uri="{C3380CC4-5D6E-409C-BE32-E72D297353CC}">
              <c16:uniqueId val="{00000004-FDD4-4F0C-BAC3-7290F20AB4C3}"/>
            </c:ext>
          </c:extLst>
        </c:ser>
        <c:ser>
          <c:idx val="6"/>
          <c:order val="3"/>
          <c:tx>
            <c:strRef>
              <c:f>Indifference!$P$19</c:f>
              <c:strCache>
                <c:ptCount val="1"/>
                <c:pt idx="0">
                  <c:v>Kaina 60</c:v>
                </c:pt>
              </c:strCache>
            </c:strRef>
          </c:tx>
          <c:spPr>
            <a:ln w="28575" cap="rnd">
              <a:solidFill>
                <a:srgbClr val="7030A0"/>
              </a:solidFill>
              <a:round/>
            </a:ln>
            <a:effectLst/>
          </c:spPr>
          <c:marker>
            <c:symbol val="none"/>
          </c:marker>
          <c:xVal>
            <c:numRef>
              <c:f>Indifference!$Q$19:$Z$19</c:f>
              <c:numCache>
                <c:formatCode>#\ ##0.000_ ;\-#\ ##0.000\ </c:formatCode>
                <c:ptCount val="10"/>
              </c:numCache>
            </c:numRef>
          </c:xVal>
          <c:yVal>
            <c:numRef>
              <c:f>Indifference!$Q$18:$Z$18</c:f>
              <c:numCache>
                <c:formatCode>General</c:formatCode>
                <c:ptCount val="10"/>
              </c:numCache>
            </c:numRef>
          </c:yVal>
          <c:smooth val="1"/>
          <c:extLst>
            <c:ext xmlns:c16="http://schemas.microsoft.com/office/drawing/2014/chart" uri="{C3380CC4-5D6E-409C-BE32-E72D297353CC}">
              <c16:uniqueId val="{00000006-FDD4-4F0C-BAC3-7290F20AB4C3}"/>
            </c:ext>
          </c:extLst>
        </c:ser>
        <c:ser>
          <c:idx val="8"/>
          <c:order val="4"/>
          <c:tx>
            <c:strRef>
              <c:f>Indifference!$P$21</c:f>
              <c:strCache>
                <c:ptCount val="1"/>
                <c:pt idx="0">
                  <c:v>Kaina 80</c:v>
                </c:pt>
              </c:strCache>
            </c:strRef>
          </c:tx>
          <c:spPr>
            <a:ln w="28575" cap="rnd">
              <a:solidFill>
                <a:srgbClr val="FF0000"/>
              </a:solidFill>
              <a:round/>
            </a:ln>
            <a:effectLst/>
          </c:spPr>
          <c:marker>
            <c:symbol val="none"/>
          </c:marker>
          <c:xVal>
            <c:numRef>
              <c:f>Indifference!$Q$21:$Z$21</c:f>
              <c:numCache>
                <c:formatCode>#\ ##0.000_ ;\-#\ ##0.000\ </c:formatCode>
                <c:ptCount val="10"/>
              </c:numCache>
            </c:numRef>
          </c:xVal>
          <c:yVal>
            <c:numRef>
              <c:f>Indifference!$Q$20:$Z$20</c:f>
              <c:numCache>
                <c:formatCode>General</c:formatCode>
                <c:ptCount val="10"/>
              </c:numCache>
            </c:numRef>
          </c:yVal>
          <c:smooth val="1"/>
          <c:extLst>
            <c:ext xmlns:c16="http://schemas.microsoft.com/office/drawing/2014/chart" uri="{C3380CC4-5D6E-409C-BE32-E72D297353CC}">
              <c16:uniqueId val="{00000008-FDD4-4F0C-BAC3-7290F20AB4C3}"/>
            </c:ext>
          </c:extLst>
        </c:ser>
        <c:dLbls>
          <c:showLegendKey val="0"/>
          <c:showVal val="0"/>
          <c:showCatName val="0"/>
          <c:showSerName val="0"/>
          <c:showPercent val="0"/>
          <c:showBubbleSize val="0"/>
        </c:dLbls>
        <c:axId val="1039133024"/>
        <c:axId val="1039136960"/>
      </c:scatterChart>
      <c:valAx>
        <c:axId val="103913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Kaina, eur.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136960"/>
        <c:crosses val="autoZero"/>
        <c:crossBetween val="midCat"/>
      </c:valAx>
      <c:valAx>
        <c:axId val="10391369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Kokyb</a:t>
                </a:r>
                <a:r>
                  <a:rPr lang="lt-LT"/>
                  <a:t>ė</a:t>
                </a:r>
                <a:r>
                  <a:rPr lang="es-ES" baseline="0"/>
                  <a:t>,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13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emf"/><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emf"/><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emf"/><Relationship Id="rId4" Type="http://schemas.openxmlformats.org/officeDocument/2006/relationships/image" Target="../media/image8.png"/><Relationship Id="rId9" Type="http://schemas.openxmlformats.org/officeDocument/2006/relationships/image" Target="../media/image13.emf"/></Relationships>
</file>

<file path=xl/drawings/_rels/drawing3.xml.rels><?xml version="1.0" encoding="UTF-8" standalone="yes"?>
<Relationships xmlns="http://schemas.openxmlformats.org/package/2006/relationships"><Relationship Id="rId13" Type="http://schemas.openxmlformats.org/officeDocument/2006/relationships/image" Target="../media/image34.png"/><Relationship Id="rId18" Type="http://schemas.openxmlformats.org/officeDocument/2006/relationships/image" Target="../media/image39.png"/><Relationship Id="rId26" Type="http://schemas.openxmlformats.org/officeDocument/2006/relationships/image" Target="../media/image47.png"/><Relationship Id="rId39" Type="http://schemas.openxmlformats.org/officeDocument/2006/relationships/image" Target="../media/image60.png"/><Relationship Id="rId21" Type="http://schemas.openxmlformats.org/officeDocument/2006/relationships/image" Target="../media/image42.png"/><Relationship Id="rId34" Type="http://schemas.openxmlformats.org/officeDocument/2006/relationships/image" Target="../media/image55.png"/><Relationship Id="rId7" Type="http://schemas.openxmlformats.org/officeDocument/2006/relationships/image" Target="../media/image28.png"/><Relationship Id="rId2" Type="http://schemas.openxmlformats.org/officeDocument/2006/relationships/image" Target="../media/image23.png"/><Relationship Id="rId16" Type="http://schemas.openxmlformats.org/officeDocument/2006/relationships/image" Target="../media/image37.png"/><Relationship Id="rId20" Type="http://schemas.openxmlformats.org/officeDocument/2006/relationships/image" Target="../media/image41.png"/><Relationship Id="rId29" Type="http://schemas.openxmlformats.org/officeDocument/2006/relationships/image" Target="../media/image50.png"/><Relationship Id="rId41" Type="http://schemas.openxmlformats.org/officeDocument/2006/relationships/image" Target="../media/image62.png"/><Relationship Id="rId1" Type="http://schemas.openxmlformats.org/officeDocument/2006/relationships/image" Target="../media/image22.png"/><Relationship Id="rId6" Type="http://schemas.openxmlformats.org/officeDocument/2006/relationships/image" Target="../media/image27.png"/><Relationship Id="rId11" Type="http://schemas.openxmlformats.org/officeDocument/2006/relationships/image" Target="../media/image32.png"/><Relationship Id="rId24" Type="http://schemas.openxmlformats.org/officeDocument/2006/relationships/image" Target="../media/image45.png"/><Relationship Id="rId32" Type="http://schemas.openxmlformats.org/officeDocument/2006/relationships/image" Target="../media/image53.png"/><Relationship Id="rId37" Type="http://schemas.openxmlformats.org/officeDocument/2006/relationships/image" Target="../media/image58.png"/><Relationship Id="rId40" Type="http://schemas.openxmlformats.org/officeDocument/2006/relationships/image" Target="../media/image61.png"/><Relationship Id="rId5" Type="http://schemas.openxmlformats.org/officeDocument/2006/relationships/image" Target="../media/image26.png"/><Relationship Id="rId15" Type="http://schemas.openxmlformats.org/officeDocument/2006/relationships/image" Target="../media/image36.png"/><Relationship Id="rId23" Type="http://schemas.openxmlformats.org/officeDocument/2006/relationships/image" Target="../media/image44.png"/><Relationship Id="rId28" Type="http://schemas.openxmlformats.org/officeDocument/2006/relationships/image" Target="../media/image49.png"/><Relationship Id="rId36" Type="http://schemas.openxmlformats.org/officeDocument/2006/relationships/image" Target="../media/image57.png"/><Relationship Id="rId10" Type="http://schemas.openxmlformats.org/officeDocument/2006/relationships/image" Target="../media/image31.png"/><Relationship Id="rId19" Type="http://schemas.openxmlformats.org/officeDocument/2006/relationships/image" Target="../media/image40.png"/><Relationship Id="rId31" Type="http://schemas.openxmlformats.org/officeDocument/2006/relationships/image" Target="../media/image52.png"/><Relationship Id="rId4" Type="http://schemas.openxmlformats.org/officeDocument/2006/relationships/image" Target="../media/image25.png"/><Relationship Id="rId9" Type="http://schemas.openxmlformats.org/officeDocument/2006/relationships/image" Target="../media/image30.png"/><Relationship Id="rId14" Type="http://schemas.openxmlformats.org/officeDocument/2006/relationships/image" Target="../media/image35.png"/><Relationship Id="rId22" Type="http://schemas.openxmlformats.org/officeDocument/2006/relationships/image" Target="../media/image43.png"/><Relationship Id="rId27" Type="http://schemas.openxmlformats.org/officeDocument/2006/relationships/image" Target="../media/image48.png"/><Relationship Id="rId30" Type="http://schemas.openxmlformats.org/officeDocument/2006/relationships/image" Target="../media/image51.png"/><Relationship Id="rId35" Type="http://schemas.openxmlformats.org/officeDocument/2006/relationships/image" Target="../media/image56.png"/><Relationship Id="rId8" Type="http://schemas.openxmlformats.org/officeDocument/2006/relationships/image" Target="../media/image29.png"/><Relationship Id="rId3" Type="http://schemas.openxmlformats.org/officeDocument/2006/relationships/image" Target="../media/image24.png"/><Relationship Id="rId12" Type="http://schemas.openxmlformats.org/officeDocument/2006/relationships/image" Target="../media/image33.png"/><Relationship Id="rId17" Type="http://schemas.openxmlformats.org/officeDocument/2006/relationships/image" Target="../media/image38.png"/><Relationship Id="rId25" Type="http://schemas.openxmlformats.org/officeDocument/2006/relationships/image" Target="../media/image46.png"/><Relationship Id="rId33" Type="http://schemas.openxmlformats.org/officeDocument/2006/relationships/image" Target="../media/image54.png"/><Relationship Id="rId38" Type="http://schemas.openxmlformats.org/officeDocument/2006/relationships/image" Target="../media/image59.png"/></Relationships>
</file>

<file path=xl/drawings/_rels/drawing4.xml.rels><?xml version="1.0" encoding="UTF-8" standalone="yes"?>
<Relationships xmlns="http://schemas.openxmlformats.org/package/2006/relationships"><Relationship Id="rId2" Type="http://schemas.openxmlformats.org/officeDocument/2006/relationships/image" Target="../media/image63.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8" Type="http://schemas.openxmlformats.org/officeDocument/2006/relationships/image" Target="../media/image71.png"/><Relationship Id="rId13" Type="http://schemas.openxmlformats.org/officeDocument/2006/relationships/image" Target="../media/image76.png"/><Relationship Id="rId18" Type="http://schemas.openxmlformats.org/officeDocument/2006/relationships/image" Target="../media/image81.png"/><Relationship Id="rId3" Type="http://schemas.openxmlformats.org/officeDocument/2006/relationships/image" Target="../media/image66.png"/><Relationship Id="rId7" Type="http://schemas.openxmlformats.org/officeDocument/2006/relationships/image" Target="../media/image70.png"/><Relationship Id="rId12" Type="http://schemas.openxmlformats.org/officeDocument/2006/relationships/image" Target="../media/image75.png"/><Relationship Id="rId17" Type="http://schemas.openxmlformats.org/officeDocument/2006/relationships/image" Target="../media/image80.jpeg"/><Relationship Id="rId2" Type="http://schemas.openxmlformats.org/officeDocument/2006/relationships/image" Target="../media/image65.png"/><Relationship Id="rId16" Type="http://schemas.openxmlformats.org/officeDocument/2006/relationships/image" Target="../media/image79.jpeg"/><Relationship Id="rId1" Type="http://schemas.openxmlformats.org/officeDocument/2006/relationships/image" Target="../media/image64.png"/><Relationship Id="rId6" Type="http://schemas.openxmlformats.org/officeDocument/2006/relationships/image" Target="../media/image69.png"/><Relationship Id="rId11" Type="http://schemas.openxmlformats.org/officeDocument/2006/relationships/image" Target="../media/image74.png"/><Relationship Id="rId5" Type="http://schemas.openxmlformats.org/officeDocument/2006/relationships/image" Target="../media/image68.png"/><Relationship Id="rId15" Type="http://schemas.openxmlformats.org/officeDocument/2006/relationships/image" Target="../media/image78.jpeg"/><Relationship Id="rId10" Type="http://schemas.openxmlformats.org/officeDocument/2006/relationships/image" Target="../media/image73.png"/><Relationship Id="rId4" Type="http://schemas.openxmlformats.org/officeDocument/2006/relationships/image" Target="../media/image67.png"/><Relationship Id="rId9" Type="http://schemas.openxmlformats.org/officeDocument/2006/relationships/image" Target="../media/image72.png"/><Relationship Id="rId14" Type="http://schemas.openxmlformats.org/officeDocument/2006/relationships/image" Target="../media/image77.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19.emf"/><Relationship Id="rId1" Type="http://schemas.openxmlformats.org/officeDocument/2006/relationships/image" Target="../media/image18.emf"/><Relationship Id="rId4"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28</xdr:row>
      <xdr:rowOff>28575</xdr:rowOff>
    </xdr:from>
    <xdr:to>
      <xdr:col>8</xdr:col>
      <xdr:colOff>190500</xdr:colOff>
      <xdr:row>32</xdr:row>
      <xdr:rowOff>136877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5048250"/>
          <a:ext cx="7696200" cy="870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57151</xdr:colOff>
      <xdr:row>34</xdr:row>
      <xdr:rowOff>85725</xdr:rowOff>
    </xdr:from>
    <xdr:to>
      <xdr:col>3</xdr:col>
      <xdr:colOff>3067051</xdr:colOff>
      <xdr:row>38</xdr:row>
      <xdr:rowOff>62279</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6" y="6248400"/>
          <a:ext cx="4229100" cy="738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247650</xdr:colOff>
      <xdr:row>7</xdr:row>
      <xdr:rowOff>168338</xdr:rowOff>
    </xdr:from>
    <xdr:to>
      <xdr:col>7</xdr:col>
      <xdr:colOff>628650</xdr:colOff>
      <xdr:row>19</xdr:row>
      <xdr:rowOff>57149</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76975" y="1558988"/>
          <a:ext cx="1114425" cy="2365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42</xdr:row>
      <xdr:rowOff>142875</xdr:rowOff>
    </xdr:from>
    <xdr:to>
      <xdr:col>8</xdr:col>
      <xdr:colOff>151440</xdr:colOff>
      <xdr:row>48</xdr:row>
      <xdr:rowOff>95113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6200" y="8401050"/>
          <a:ext cx="7676190" cy="10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136072</xdr:colOff>
      <xdr:row>1</xdr:row>
      <xdr:rowOff>95250</xdr:rowOff>
    </xdr:from>
    <xdr:to>
      <xdr:col>13</xdr:col>
      <xdr:colOff>778497</xdr:colOff>
      <xdr:row>3</xdr:row>
      <xdr:rowOff>124517</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rotWithShape="1">
        <a:blip xmlns:r="http://schemas.openxmlformats.org/officeDocument/2006/relationships" r:embed="rId1"/>
        <a:srcRect t="-1" b="7094"/>
        <a:stretch/>
      </xdr:blipFill>
      <xdr:spPr>
        <a:xfrm>
          <a:off x="12069536" y="149679"/>
          <a:ext cx="642425" cy="791267"/>
        </a:xfrm>
        <a:prstGeom prst="rect">
          <a:avLst/>
        </a:prstGeom>
      </xdr:spPr>
    </xdr:pic>
    <xdr:clientData/>
  </xdr:twoCellAnchor>
  <xdr:twoCellAnchor>
    <xdr:from>
      <xdr:col>12</xdr:col>
      <xdr:colOff>136072</xdr:colOff>
      <xdr:row>1</xdr:row>
      <xdr:rowOff>101141</xdr:rowOff>
    </xdr:from>
    <xdr:to>
      <xdr:col>12</xdr:col>
      <xdr:colOff>801649</xdr:colOff>
      <xdr:row>3</xdr:row>
      <xdr:rowOff>132070</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2"/>
        <a:stretch>
          <a:fillRect/>
        </a:stretch>
      </xdr:blipFill>
      <xdr:spPr>
        <a:xfrm>
          <a:off x="11157858" y="155570"/>
          <a:ext cx="665577" cy="792929"/>
        </a:xfrm>
        <a:prstGeom prst="rect">
          <a:avLst/>
        </a:prstGeom>
      </xdr:spPr>
    </xdr:pic>
    <xdr:clientData/>
  </xdr:twoCellAnchor>
  <xdr:twoCellAnchor>
    <xdr:from>
      <xdr:col>11</xdr:col>
      <xdr:colOff>122465</xdr:colOff>
      <xdr:row>1</xdr:row>
      <xdr:rowOff>109672</xdr:rowOff>
    </xdr:from>
    <xdr:to>
      <xdr:col>11</xdr:col>
      <xdr:colOff>774116</xdr:colOff>
      <xdr:row>3</xdr:row>
      <xdr:rowOff>96051</xdr:rowOff>
    </xdr:to>
    <xdr:pic>
      <xdr:nvPicPr>
        <xdr:cNvPr id="17" name="Picture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3"/>
        <a:stretch>
          <a:fillRect/>
        </a:stretch>
      </xdr:blipFill>
      <xdr:spPr>
        <a:xfrm>
          <a:off x="10232572" y="164101"/>
          <a:ext cx="651651" cy="748379"/>
        </a:xfrm>
        <a:prstGeom prst="rect">
          <a:avLst/>
        </a:prstGeom>
      </xdr:spPr>
    </xdr:pic>
    <xdr:clientData/>
  </xdr:twoCellAnchor>
  <xdr:twoCellAnchor>
    <xdr:from>
      <xdr:col>10</xdr:col>
      <xdr:colOff>98807</xdr:colOff>
      <xdr:row>1</xdr:row>
      <xdr:rowOff>149959</xdr:rowOff>
    </xdr:from>
    <xdr:to>
      <xdr:col>10</xdr:col>
      <xdr:colOff>802820</xdr:colOff>
      <xdr:row>3</xdr:row>
      <xdr:rowOff>112059</xdr:rowOff>
    </xdr:to>
    <xdr:pic>
      <xdr:nvPicPr>
        <xdr:cNvPr id="18" name="Picture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4"/>
        <a:stretch>
          <a:fillRect/>
        </a:stretch>
      </xdr:blipFill>
      <xdr:spPr>
        <a:xfrm>
          <a:off x="9297236" y="204388"/>
          <a:ext cx="704013" cy="724100"/>
        </a:xfrm>
        <a:prstGeom prst="rect">
          <a:avLst/>
        </a:prstGeom>
      </xdr:spPr>
    </xdr:pic>
    <xdr:clientData/>
  </xdr:twoCellAnchor>
  <xdr:twoCellAnchor>
    <xdr:from>
      <xdr:col>9</xdr:col>
      <xdr:colOff>132571</xdr:colOff>
      <xdr:row>1</xdr:row>
      <xdr:rowOff>134471</xdr:rowOff>
    </xdr:from>
    <xdr:to>
      <xdr:col>9</xdr:col>
      <xdr:colOff>802820</xdr:colOff>
      <xdr:row>3</xdr:row>
      <xdr:rowOff>123265</xdr:rowOff>
    </xdr:to>
    <xdr:pic>
      <xdr:nvPicPr>
        <xdr:cNvPr id="19" name="Picture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5"/>
        <a:stretch>
          <a:fillRect/>
        </a:stretch>
      </xdr:blipFill>
      <xdr:spPr>
        <a:xfrm>
          <a:off x="8419321" y="188900"/>
          <a:ext cx="670249" cy="750794"/>
        </a:xfrm>
        <a:prstGeom prst="rect">
          <a:avLst/>
        </a:prstGeom>
      </xdr:spPr>
    </xdr:pic>
    <xdr:clientData/>
  </xdr:twoCellAnchor>
  <xdr:twoCellAnchor>
    <xdr:from>
      <xdr:col>8</xdr:col>
      <xdr:colOff>105247</xdr:colOff>
      <xdr:row>1</xdr:row>
      <xdr:rowOff>103961</xdr:rowOff>
    </xdr:from>
    <xdr:to>
      <xdr:col>8</xdr:col>
      <xdr:colOff>816429</xdr:colOff>
      <xdr:row>3</xdr:row>
      <xdr:rowOff>44825</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6"/>
        <a:stretch>
          <a:fillRect/>
        </a:stretch>
      </xdr:blipFill>
      <xdr:spPr>
        <a:xfrm>
          <a:off x="7467512" y="159990"/>
          <a:ext cx="711182" cy="702864"/>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201275</xdr:colOff>
          <xdr:row>1</xdr:row>
          <xdr:rowOff>156883</xdr:rowOff>
        </xdr:from>
        <xdr:to>
          <xdr:col>6</xdr:col>
          <xdr:colOff>750794</xdr:colOff>
          <xdr:row>3</xdr:row>
          <xdr:rowOff>80251</xdr:rowOff>
        </xdr:to>
        <xdr:pic>
          <xdr:nvPicPr>
            <xdr:cNvPr id="28" name="Picture 27">
              <a:extLst>
                <a:ext uri="{FF2B5EF4-FFF2-40B4-BE49-F238E27FC236}">
                  <a16:creationId xmlns:a16="http://schemas.microsoft.com/office/drawing/2014/main" id="{00000000-0008-0000-0200-00001C000000}"/>
                </a:ext>
              </a:extLst>
            </xdr:cNvPr>
            <xdr:cNvPicPr>
              <a:picLocks noChangeAspect="1" noChangeArrowheads="1"/>
              <a:extLst>
                <a:ext uri="{84589F7E-364E-4C9E-8A38-B11213B215E9}">
                  <a14:cameraTool cellRange="indif" spid="_x0000_s41773"/>
                </a:ext>
              </a:extLst>
            </xdr:cNvPicPr>
          </xdr:nvPicPr>
          <xdr:blipFill rotWithShape="1">
            <a:blip xmlns:r="http://schemas.openxmlformats.org/officeDocument/2006/relationships" r:embed="rId7"/>
            <a:srcRect l="11393" t="10250" r="8753" b="7013"/>
            <a:stretch>
              <a:fillRect/>
            </a:stretch>
          </xdr:blipFill>
          <xdr:spPr bwMode="auto">
            <a:xfrm>
              <a:off x="5725775" y="212912"/>
              <a:ext cx="549519" cy="685368"/>
            </a:xfrm>
            <a:prstGeom prst="rect">
              <a:avLst/>
            </a:prstGeom>
            <a:noFill/>
            <a:ln>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5</xdr:col>
          <xdr:colOff>122463</xdr:colOff>
          <xdr:row>1</xdr:row>
          <xdr:rowOff>164086</xdr:rowOff>
        </xdr:from>
        <xdr:to>
          <xdr:col>5</xdr:col>
          <xdr:colOff>775606</xdr:colOff>
          <xdr:row>3</xdr:row>
          <xdr:rowOff>28734</xdr:rowOff>
        </xdr:to>
        <xdr:pic>
          <xdr:nvPicPr>
            <xdr:cNvPr id="25" name="Picture 24">
              <a:extLst>
                <a:ext uri="{FF2B5EF4-FFF2-40B4-BE49-F238E27FC236}">
                  <a16:creationId xmlns:a16="http://schemas.microsoft.com/office/drawing/2014/main" id="{00000000-0008-0000-0200-000019000000}"/>
                </a:ext>
              </a:extLst>
            </xdr:cNvPr>
            <xdr:cNvPicPr>
              <a:picLocks noChangeAspect="1" noChangeArrowheads="1"/>
              <a:extLst>
                <a:ext uri="{84589F7E-364E-4C9E-8A38-B11213B215E9}">
                  <a14:cameraTool cellRange="absolute" spid="_x0000_s41774"/>
                </a:ext>
              </a:extLst>
            </xdr:cNvPicPr>
          </xdr:nvPicPr>
          <xdr:blipFill rotWithShape="1">
            <a:blip xmlns:r="http://schemas.openxmlformats.org/officeDocument/2006/relationships" r:embed="rId8"/>
            <a:srcRect l="9412" t="14948" r="15294" b="15340"/>
            <a:stretch>
              <a:fillRect/>
            </a:stretch>
          </xdr:blipFill>
          <xdr:spPr bwMode="auto">
            <a:xfrm>
              <a:off x="4762499" y="218515"/>
              <a:ext cx="653143" cy="62664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902875</xdr:colOff>
          <xdr:row>1</xdr:row>
          <xdr:rowOff>67236</xdr:rowOff>
        </xdr:from>
        <xdr:to>
          <xdr:col>7</xdr:col>
          <xdr:colOff>839552</xdr:colOff>
          <xdr:row>3</xdr:row>
          <xdr:rowOff>78442</xdr:rowOff>
        </xdr:to>
        <xdr:pic>
          <xdr:nvPicPr>
            <xdr:cNvPr id="26" name="Picture 25">
              <a:extLst>
                <a:ext uri="{FF2B5EF4-FFF2-40B4-BE49-F238E27FC236}">
                  <a16:creationId xmlns:a16="http://schemas.microsoft.com/office/drawing/2014/main" id="{00000000-0008-0000-0200-00001A000000}"/>
                </a:ext>
              </a:extLst>
            </xdr:cNvPr>
            <xdr:cNvPicPr>
              <a:picLocks noChangeAspect="1" noChangeArrowheads="1"/>
              <a:extLst>
                <a:ext uri="{84589F7E-364E-4C9E-8A38-B11213B215E9}">
                  <a14:cameraTool cellRange="infinity" spid="_x0000_s41775"/>
                </a:ext>
              </a:extLst>
            </xdr:cNvPicPr>
          </xdr:nvPicPr>
          <xdr:blipFill rotWithShape="1">
            <a:blip xmlns:r="http://schemas.openxmlformats.org/officeDocument/2006/relationships" r:embed="rId9"/>
            <a:srcRect l="-8434" t="6190" r="8433" b="3715"/>
            <a:stretch>
              <a:fillRect/>
            </a:stretch>
          </xdr:blipFill>
          <xdr:spPr bwMode="auto">
            <a:xfrm>
              <a:off x="7077316" y="123265"/>
              <a:ext cx="844354" cy="77320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96612</xdr:colOff>
          <xdr:row>31</xdr:row>
          <xdr:rowOff>100769</xdr:rowOff>
        </xdr:from>
        <xdr:to>
          <xdr:col>10</xdr:col>
          <xdr:colOff>561</xdr:colOff>
          <xdr:row>33</xdr:row>
          <xdr:rowOff>301624</xdr:rowOff>
        </xdr:to>
        <xdr:pic>
          <xdr:nvPicPr>
            <xdr:cNvPr id="53" name="Picture 52">
              <a:extLst>
                <a:ext uri="{FF2B5EF4-FFF2-40B4-BE49-F238E27FC236}">
                  <a16:creationId xmlns:a16="http://schemas.microsoft.com/office/drawing/2014/main" id="{00000000-0008-0000-0200-000035000000}"/>
                </a:ext>
              </a:extLst>
            </xdr:cNvPr>
            <xdr:cNvPicPr>
              <a:picLocks noChangeAspect="1" noChangeArrowheads="1"/>
              <a:extLst>
                <a:ext uri="{84589F7E-364E-4C9E-8A38-B11213B215E9}">
                  <a14:cameraTool cellRange="formule_pav" spid="_x0000_s41776"/>
                </a:ext>
              </a:extLst>
            </xdr:cNvPicPr>
          </xdr:nvPicPr>
          <xdr:blipFill>
            <a:blip xmlns:r="http://schemas.openxmlformats.org/officeDocument/2006/relationships" r:embed="rId10"/>
            <a:srcRect/>
            <a:stretch>
              <a:fillRect/>
            </a:stretch>
          </xdr:blipFill>
          <xdr:spPr bwMode="auto">
            <a:xfrm>
              <a:off x="5509053" y="3910769"/>
              <a:ext cx="4430565" cy="985042"/>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xdr:from>
          <xdr:col>10</xdr:col>
          <xdr:colOff>28575</xdr:colOff>
          <xdr:row>31</xdr:row>
          <xdr:rowOff>123825</xdr:rowOff>
        </xdr:from>
        <xdr:to>
          <xdr:col>10</xdr:col>
          <xdr:colOff>866775</xdr:colOff>
          <xdr:row>32</xdr:row>
          <xdr:rowOff>161925</xdr:rowOff>
        </xdr:to>
        <xdr:sp macro="" textlink="">
          <xdr:nvSpPr>
            <xdr:cNvPr id="11629" name="Button 1389" hidden="1">
              <a:extLst>
                <a:ext uri="{63B3BB69-23CF-44E3-9099-C40C66FF867C}">
                  <a14:compatExt spid="_x0000_s11629"/>
                </a:ext>
                <a:ext uri="{FF2B5EF4-FFF2-40B4-BE49-F238E27FC236}">
                  <a16:creationId xmlns:a16="http://schemas.microsoft.com/office/drawing/2014/main" id="{00000000-0008-0000-0200-00006D2D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Simuliacija</a:t>
              </a:r>
            </a:p>
          </xdr:txBody>
        </xdr:sp>
        <xdr:clientData fPrintsWithSheet="0"/>
      </xdr:twoCellAnchor>
    </mc:Choice>
    <mc:Fallback/>
  </mc:AlternateContent>
  <xdr:twoCellAnchor editAs="oneCell">
    <xdr:from>
      <xdr:col>15</xdr:col>
      <xdr:colOff>257575</xdr:colOff>
      <xdr:row>10</xdr:row>
      <xdr:rowOff>406371</xdr:rowOff>
    </xdr:from>
    <xdr:to>
      <xdr:col>15</xdr:col>
      <xdr:colOff>2547992</xdr:colOff>
      <xdr:row>13</xdr:row>
      <xdr:rowOff>185793</xdr:rowOff>
    </xdr:to>
    <xdr:pic>
      <xdr:nvPicPr>
        <xdr:cNvPr id="63" name="Picture 62">
          <a:extLst>
            <a:ext uri="{FF2B5EF4-FFF2-40B4-BE49-F238E27FC236}">
              <a16:creationId xmlns:a16="http://schemas.microsoft.com/office/drawing/2014/main" id="{00000000-0008-0000-0200-00003F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4564125" y="1368396"/>
          <a:ext cx="2282797" cy="924327"/>
        </a:xfrm>
        <a:prstGeom prst="rect">
          <a:avLst/>
        </a:prstGeom>
      </xdr:spPr>
    </xdr:pic>
    <xdr:clientData/>
  </xdr:twoCellAnchor>
  <xdr:twoCellAnchor editAs="oneCell">
    <xdr:from>
      <xdr:col>15</xdr:col>
      <xdr:colOff>231963</xdr:colOff>
      <xdr:row>15</xdr:row>
      <xdr:rowOff>213470</xdr:rowOff>
    </xdr:from>
    <xdr:to>
      <xdr:col>15</xdr:col>
      <xdr:colOff>2587550</xdr:colOff>
      <xdr:row>33</xdr:row>
      <xdr:rowOff>340002</xdr:rowOff>
    </xdr:to>
    <xdr:pic>
      <xdr:nvPicPr>
        <xdr:cNvPr id="66" name="Picture 65">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538513" y="2889995"/>
          <a:ext cx="2330822" cy="1993432"/>
        </a:xfrm>
        <a:prstGeom prst="rect">
          <a:avLst/>
        </a:prstGeom>
        <a:noFill/>
      </xdr:spPr>
    </xdr:pic>
    <xdr:clientData/>
  </xdr:twoCellAnchor>
  <xdr:twoCellAnchor editAs="oneCell">
    <xdr:from>
      <xdr:col>1</xdr:col>
      <xdr:colOff>254373</xdr:colOff>
      <xdr:row>34</xdr:row>
      <xdr:rowOff>99043</xdr:rowOff>
    </xdr:from>
    <xdr:to>
      <xdr:col>2</xdr:col>
      <xdr:colOff>949474</xdr:colOff>
      <xdr:row>42</xdr:row>
      <xdr:rowOff>117664</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21123" y="4623418"/>
          <a:ext cx="1668556" cy="1509003"/>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657225</xdr:colOff>
          <xdr:row>40</xdr:row>
          <xdr:rowOff>133350</xdr:rowOff>
        </xdr:from>
        <xdr:to>
          <xdr:col>15</xdr:col>
          <xdr:colOff>2295525</xdr:colOff>
          <xdr:row>42</xdr:row>
          <xdr:rowOff>28575</xdr:rowOff>
        </xdr:to>
        <xdr:sp macro="" textlink="">
          <xdr:nvSpPr>
            <xdr:cNvPr id="27397" name="Button 2821" hidden="1">
              <a:extLst>
                <a:ext uri="{63B3BB69-23CF-44E3-9099-C40C66FF867C}">
                  <a14:compatExt spid="_x0000_s27397"/>
                </a:ext>
                <a:ext uri="{FF2B5EF4-FFF2-40B4-BE49-F238E27FC236}">
                  <a16:creationId xmlns:a16="http://schemas.microsoft.com/office/drawing/2014/main" id="{00000000-0008-0000-0200-0000056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Tikrinti versijos naujumą</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xdr:colOff>
          <xdr:row>32</xdr:row>
          <xdr:rowOff>228600</xdr:rowOff>
        </xdr:from>
        <xdr:to>
          <xdr:col>10</xdr:col>
          <xdr:colOff>885825</xdr:colOff>
          <xdr:row>33</xdr:row>
          <xdr:rowOff>190500</xdr:rowOff>
        </xdr:to>
        <xdr:sp macro="" textlink="">
          <xdr:nvSpPr>
            <xdr:cNvPr id="27586" name="Button 3010" hidden="1">
              <a:extLst>
                <a:ext uri="{63B3BB69-23CF-44E3-9099-C40C66FF867C}">
                  <a14:compatExt spid="_x0000_s27586"/>
                </a:ext>
                <a:ext uri="{FF2B5EF4-FFF2-40B4-BE49-F238E27FC236}">
                  <a16:creationId xmlns:a16="http://schemas.microsoft.com/office/drawing/2014/main" id="{00000000-0008-0000-0200-0000C26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Viską išvalyti</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15</xdr:col>
      <xdr:colOff>333041</xdr:colOff>
      <xdr:row>75</xdr:row>
      <xdr:rowOff>251113</xdr:rowOff>
    </xdr:from>
    <xdr:ext cx="4837880" cy="2806079"/>
    <xdr:pic>
      <xdr:nvPicPr>
        <xdr:cNvPr id="49" name="Picture 48">
          <a:extLst>
            <a:ext uri="{FF2B5EF4-FFF2-40B4-BE49-F238E27FC236}">
              <a16:creationId xmlns:a16="http://schemas.microsoft.com/office/drawing/2014/main" id="{00000000-0008-0000-0300-000031000000}"/>
            </a:ext>
          </a:extLst>
        </xdr:cNvPr>
        <xdr:cNvPicPr>
          <a:picLocks noChangeAspect="1"/>
        </xdr:cNvPicPr>
      </xdr:nvPicPr>
      <xdr:blipFill>
        <a:blip xmlns:r="http://schemas.openxmlformats.org/officeDocument/2006/relationships" r:embed="rId1"/>
        <a:stretch>
          <a:fillRect/>
        </a:stretch>
      </xdr:blipFill>
      <xdr:spPr>
        <a:xfrm>
          <a:off x="14020466" y="26101963"/>
          <a:ext cx="4837880" cy="2806079"/>
        </a:xfrm>
        <a:prstGeom prst="rect">
          <a:avLst/>
        </a:prstGeom>
      </xdr:spPr>
    </xdr:pic>
    <xdr:clientData/>
  </xdr:oneCellAnchor>
  <xdr:oneCellAnchor>
    <xdr:from>
      <xdr:col>15</xdr:col>
      <xdr:colOff>172130</xdr:colOff>
      <xdr:row>36</xdr:row>
      <xdr:rowOff>190500</xdr:rowOff>
    </xdr:from>
    <xdr:ext cx="3365728" cy="911678"/>
    <mc:AlternateContent xmlns:mc="http://schemas.openxmlformats.org/markup-compatibility/2006" xmlns:a14="http://schemas.microsoft.com/office/drawing/2010/main">
      <mc:Choice Requires="a14">
        <xdr:sp macro="" textlink="">
          <xdr:nvSpPr>
            <xdr:cNvPr id="50" name="TextBox 49">
              <a:extLst>
                <a:ext uri="{FF2B5EF4-FFF2-40B4-BE49-F238E27FC236}">
                  <a16:creationId xmlns:a16="http://schemas.microsoft.com/office/drawing/2014/main" id="{00000000-0008-0000-0300-000032000000}"/>
                </a:ext>
              </a:extLst>
            </xdr:cNvPr>
            <xdr:cNvSpPr txBox="1"/>
          </xdr:nvSpPr>
          <xdr:spPr>
            <a:xfrm>
              <a:off x="13859555" y="18669000"/>
              <a:ext cx="3365728" cy="911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GB" sz="1200" b="0" i="1">
                            <a:latin typeface="Cambria Math" panose="02040503050406030204" pitchFamily="18" charset="0"/>
                          </a:rPr>
                        </m:ctrlPr>
                      </m:sSubPr>
                      <m:e>
                        <m:r>
                          <a:rPr lang="en-GB" sz="1200" b="0" i="1">
                            <a:latin typeface="Cambria Math" panose="02040503050406030204" pitchFamily="18" charset="0"/>
                          </a:rPr>
                          <m:t>𝑊</m:t>
                        </m:r>
                      </m:e>
                      <m:sub>
                        <m:r>
                          <a:rPr lang="lt-LT" sz="1200" b="0" i="1">
                            <a:latin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lt-LT" sz="1200" b="0" i="1">
                            <a:latin typeface="Cambria Math" panose="02040503050406030204" pitchFamily="18" charset="0"/>
                            <a:ea typeface="Cambria Math" panose="02040503050406030204" pitchFamily="18" charset="0"/>
                          </a:rPr>
                          <m:t>Į</m:t>
                        </m:r>
                        <m:r>
                          <a:rPr lang="lt-LT" sz="1200" b="0" i="1">
                            <a:latin typeface="Cambria Math" panose="02040503050406030204" pitchFamily="18" charset="0"/>
                            <a:ea typeface="Cambria Math" panose="02040503050406030204" pitchFamily="18" charset="0"/>
                          </a:rPr>
                          <m:t>𝑣𝑒𝑟𝑡</m:t>
                        </m:r>
                      </m:e>
                      <m:sub>
                        <m:r>
                          <a:rPr lang="lt-LT" sz="1200" b="0" i="1">
                            <a:latin typeface="Cambria Math" panose="02040503050406030204" pitchFamily="18" charset="0"/>
                            <a:ea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en-GB" sz="1200" b="0" i="1">
                            <a:latin typeface="Cambria Math" panose="02040503050406030204" pitchFamily="18" charset="0"/>
                            <a:ea typeface="Cambria Math" panose="02040503050406030204" pitchFamily="18" charset="0"/>
                          </a:rPr>
                          <m:t>𝑊</m:t>
                        </m:r>
                      </m:e>
                      <m:sub>
                        <m:r>
                          <a:rPr lang="lt-LT" sz="1200" b="0" i="1">
                            <a:latin typeface="Cambria Math" panose="02040503050406030204" pitchFamily="18" charset="0"/>
                            <a:ea typeface="Cambria Math" panose="02040503050406030204" pitchFamily="18" charset="0"/>
                          </a:rPr>
                          <m:t>𝐾𝑜𝑘𝑦𝑏</m:t>
                        </m:r>
                        <m:r>
                          <a:rPr lang="lt-LT" sz="1200" b="0" i="1">
                            <a:latin typeface="Cambria Math" panose="02040503050406030204" pitchFamily="18" charset="0"/>
                            <a:ea typeface="Cambria Math" panose="02040503050406030204" pitchFamily="18" charset="0"/>
                          </a:rPr>
                          <m:t>ė</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en-GB" sz="1200" b="0" i="1">
                            <a:latin typeface="Cambria Math" panose="02040503050406030204" pitchFamily="18" charset="0"/>
                            <a:ea typeface="Cambria Math" panose="02040503050406030204" pitchFamily="18" charset="0"/>
                          </a:rPr>
                          <m:t>𝑄</m:t>
                        </m:r>
                      </m:e>
                      <m:sub>
                        <m:r>
                          <a:rPr lang="en-GB" sz="1200" b="0" i="1">
                            <a:latin typeface="Cambria Math" panose="02040503050406030204" pitchFamily="18" charset="0"/>
                            <a:ea typeface="Cambria Math" panose="02040503050406030204" pitchFamily="18" charset="0"/>
                          </a:rPr>
                          <m:t>𝑖</m:t>
                        </m:r>
                      </m:sub>
                    </m:sSub>
                    <m:r>
                      <a:rPr lang="en-GB" sz="1200" b="0" i="0">
                        <a:latin typeface="Cambria Math" panose="02040503050406030204" pitchFamily="18" charset="0"/>
                        <a:ea typeface="Cambria Math" panose="02040503050406030204" pitchFamily="18" charset="0"/>
                      </a:rPr>
                      <m:t>,</m:t>
                    </m:r>
                  </m:oMath>
                </m:oMathPara>
              </a14:m>
              <a:endParaRPr lang="en-GB" sz="1200" b="0">
                <a:ea typeface="Cambria Math" panose="02040503050406030204" pitchFamily="18" charset="0"/>
              </a:endParaRPr>
            </a:p>
            <a:p>
              <a:r>
                <a:rPr lang="en-GB" sz="1200" b="0">
                  <a:ea typeface="Cambria Math" panose="02040503050406030204" pitchFamily="18" charset="0"/>
                </a:rPr>
                <a:t>kur </a:t>
              </a:r>
              <a14:m>
                <m:oMath xmlns:m="http://schemas.openxmlformats.org/officeDocument/2006/math">
                  <m:sSub>
                    <m:sSubPr>
                      <m:ctrlPr>
                        <a:rPr lang="en-GB" sz="1200" b="0" i="1">
                          <a:latin typeface="Cambria Math" panose="02040503050406030204" pitchFamily="18" charset="0"/>
                          <a:ea typeface="Cambria Math" panose="02040503050406030204" pitchFamily="18" charset="0"/>
                        </a:rPr>
                      </m:ctrlPr>
                    </m:sSubPr>
                    <m:e>
                      <m:r>
                        <a:rPr lang="lt-LT" sz="1200" b="0" i="1">
                          <a:latin typeface="Cambria Math" panose="02040503050406030204" pitchFamily="18" charset="0"/>
                          <a:ea typeface="Cambria Math" panose="02040503050406030204" pitchFamily="18" charset="0"/>
                        </a:rPr>
                        <m:t>Į</m:t>
                      </m:r>
                      <m:r>
                        <a:rPr lang="lt-LT" sz="1200" b="0" i="1">
                          <a:latin typeface="Cambria Math" panose="02040503050406030204" pitchFamily="18" charset="0"/>
                          <a:ea typeface="Cambria Math" panose="02040503050406030204" pitchFamily="18" charset="0"/>
                        </a:rPr>
                        <m:t>𝑣𝑒𝑟𝑡</m:t>
                      </m:r>
                    </m:e>
                    <m:sub>
                      <m:r>
                        <a:rPr lang="lt-LT" sz="1200" b="0" i="1">
                          <a:latin typeface="Cambria Math" panose="02040503050406030204" pitchFamily="18" charset="0"/>
                          <a:ea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r>
                    <a:rPr lang="lt-LT" sz="1200" b="0" i="1">
                      <a:latin typeface="Cambria Math" panose="02040503050406030204" pitchFamily="18" charset="0"/>
                      <a:ea typeface="Cambria Math" panose="02040503050406030204" pitchFamily="18" charset="0"/>
                    </a:rPr>
                    <m:t>  </m:t>
                  </m:r>
                  <m:r>
                    <a:rPr lang="lt-LT" sz="1200" b="0" i="1">
                      <a:solidFill>
                        <a:schemeClr val="tx1"/>
                      </a:solidFill>
                      <a:effectLst/>
                      <a:latin typeface="Cambria Math" panose="02040503050406030204" pitchFamily="18" charset="0"/>
                      <a:ea typeface="+mn-ea"/>
                      <a:cs typeface="+mn-cs"/>
                    </a:rPr>
                    <m:t>0 −</m:t>
                  </m:r>
                  <m:r>
                    <a:rPr lang="lt-LT" sz="1200" b="0" i="1">
                      <a:solidFill>
                        <a:schemeClr val="tx1"/>
                      </a:solidFill>
                      <a:effectLst/>
                      <a:latin typeface="Cambria Math" panose="02040503050406030204" pitchFamily="18" charset="0"/>
                      <a:ea typeface="+mn-ea"/>
                      <a:cs typeface="+mn-cs"/>
                    </a:rPr>
                    <m:t>𝑏𝑟𝑎𝑛𝑔𝑖𝑎𝑢𝑠𝑖𝑎𝑠</m:t>
                  </m:r>
                  <m:r>
                    <a:rPr lang="lt-LT" sz="1200" b="0" i="1">
                      <a:solidFill>
                        <a:schemeClr val="tx1"/>
                      </a:solidFill>
                      <a:effectLst/>
                      <a:latin typeface="Cambria Math" panose="02040503050406030204" pitchFamily="18" charset="0"/>
                      <a:ea typeface="+mn-ea"/>
                      <a:cs typeface="+mn-cs"/>
                    </a:rPr>
                    <m:t>,  </m:t>
                  </m:r>
                </m:oMath>
              </a14:m>
              <a:endParaRPr lang="en-US" sz="1200" b="0" i="1">
                <a:solidFill>
                  <a:schemeClr val="tx1"/>
                </a:solidFill>
                <a:effectLst/>
                <a:latin typeface="Cambria Math" panose="02040503050406030204" pitchFamily="18" charset="0"/>
                <a:ea typeface="+mn-ea"/>
                <a:cs typeface="+mn-cs"/>
              </a:endParaRPr>
            </a:p>
            <a:p>
              <a14:m>
                <m:oMath xmlns:m="http://schemas.openxmlformats.org/officeDocument/2006/math">
                  <m:r>
                    <a:rPr lang="lt-LT" sz="1200" b="0" i="1">
                      <a:solidFill>
                        <a:schemeClr val="tx1"/>
                      </a:solidFill>
                      <a:effectLst/>
                      <a:latin typeface="Cambria Math" panose="02040503050406030204" pitchFamily="18" charset="0"/>
                      <a:ea typeface="+mn-ea"/>
                      <a:cs typeface="+mn-cs"/>
                    </a:rPr>
                    <m:t>1 −</m:t>
                  </m:r>
                  <m:r>
                    <a:rPr lang="lt-LT" sz="1200" b="0" i="1">
                      <a:solidFill>
                        <a:schemeClr val="tx1"/>
                      </a:solidFill>
                      <a:effectLst/>
                      <a:latin typeface="Cambria Math" panose="02040503050406030204" pitchFamily="18" charset="0"/>
                      <a:ea typeface="+mn-ea"/>
                      <a:cs typeface="+mn-cs"/>
                    </a:rPr>
                    <m:t>𝑝𝑖𝑔𝑖𝑎𝑢𝑠𝑖𝑎𝑠</m:t>
                  </m:r>
                  <m:r>
                    <a:rPr lang="en-US" sz="1200" b="0" i="1">
                      <a:solidFill>
                        <a:schemeClr val="tx1"/>
                      </a:solidFill>
                      <a:effectLst/>
                      <a:latin typeface="Cambria Math" panose="02040503050406030204" pitchFamily="18" charset="0"/>
                      <a:ea typeface="+mn-ea"/>
                      <a:cs typeface="+mn-cs"/>
                    </a:rPr>
                    <m:t> </m:t>
                  </m:r>
                  <m:r>
                    <a:rPr lang="lt-LT" sz="1200" b="0" i="1">
                      <a:latin typeface="Cambria Math" panose="02040503050406030204" pitchFamily="18" charset="0"/>
                      <a:ea typeface="Cambria Math" panose="02040503050406030204" pitchFamily="18" charset="0"/>
                    </a:rPr>
                    <m:t>𝑝𝑎𝑠𝑖</m:t>
                  </m:r>
                  <m:r>
                    <a:rPr lang="lt-LT" sz="1200" b="0" i="1">
                      <a:latin typeface="Cambria Math" panose="02040503050406030204" pitchFamily="18" charset="0"/>
                      <a:ea typeface="Cambria Math" panose="02040503050406030204" pitchFamily="18" charset="0"/>
                    </a:rPr>
                    <m:t>ū</m:t>
                  </m:r>
                  <m:r>
                    <a:rPr lang="lt-LT" sz="1200" b="0" i="1">
                      <a:latin typeface="Cambria Math" panose="02040503050406030204" pitchFamily="18" charset="0"/>
                      <a:ea typeface="Cambria Math" panose="02040503050406030204" pitchFamily="18" charset="0"/>
                    </a:rPr>
                    <m:t>𝑙𝑦𝑚𝑎𝑠</m:t>
                  </m:r>
                </m:oMath>
              </a14:m>
              <a:r>
                <a:rPr lang="lt-LT" sz="1200" b="0">
                  <a:ea typeface="Cambria Math" panose="02040503050406030204" pitchFamily="18" charset="0"/>
                </a:rPr>
                <a:t>, </a:t>
              </a:r>
              <a:endParaRPr lang="en-US" sz="1200" b="0">
                <a:ea typeface="Cambria Math" panose="02040503050406030204" pitchFamily="18" charset="0"/>
              </a:endParaRPr>
            </a:p>
            <a:p>
              <a:r>
                <a:rPr lang="lt-LT" sz="1200" b="0">
                  <a:ea typeface="Cambria Math" panose="02040503050406030204" pitchFamily="18" charset="0"/>
                </a:rPr>
                <a:t>kiti </a:t>
              </a:r>
              <a14:m>
                <m:oMath xmlns:m="http://schemas.openxmlformats.org/officeDocument/2006/math">
                  <m:r>
                    <a:rPr lang="lt-LT" sz="1200" b="0" i="1">
                      <a:solidFill>
                        <a:schemeClr val="tx1"/>
                      </a:solidFill>
                      <a:effectLst/>
                      <a:latin typeface="Cambria Math" panose="02040503050406030204" pitchFamily="18" charset="0"/>
                      <a:ea typeface="+mn-ea"/>
                      <a:cs typeface="+mn-cs"/>
                    </a:rPr>
                    <m:t>−</m:t>
                  </m:r>
                </m:oMath>
              </a14:m>
              <a:r>
                <a:rPr lang="lt-LT" sz="1200" b="0">
                  <a:ea typeface="Cambria Math" panose="02040503050406030204" pitchFamily="18" charset="0"/>
                </a:rPr>
                <a:t> proporcingai</a:t>
              </a:r>
              <a:r>
                <a:rPr lang="en-GB" sz="1200" b="0">
                  <a:ea typeface="Cambria Math" panose="02040503050406030204" pitchFamily="18" charset="0"/>
                </a:rPr>
                <a:t> intervale nuo 0 iki 1</a:t>
              </a:r>
            </a:p>
          </xdr:txBody>
        </xdr:sp>
      </mc:Choice>
      <mc:Fallback xmlns="">
        <xdr:sp macro="" textlink="">
          <xdr:nvSpPr>
            <xdr:cNvPr id="50" name="TextBox 49">
              <a:extLst>
                <a:ext uri="{FF2B5EF4-FFF2-40B4-BE49-F238E27FC236}">
                  <a16:creationId xmlns:a16="http://schemas.microsoft.com/office/drawing/2014/main" id="{9B9D997A-D245-48A7-9E87-5B9276920407}"/>
                </a:ext>
              </a:extLst>
            </xdr:cNvPr>
            <xdr:cNvSpPr txBox="1"/>
          </xdr:nvSpPr>
          <xdr:spPr>
            <a:xfrm>
              <a:off x="13859555" y="18669000"/>
              <a:ext cx="3365728" cy="911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1200" b="0" i="0">
                  <a:latin typeface="Cambria Math" panose="02040503050406030204" pitchFamily="18" charset="0"/>
                </a:rPr>
                <a:t>𝑊_</a:t>
              </a:r>
              <a:r>
                <a:rPr lang="lt-LT" sz="1200" b="0" i="0">
                  <a:latin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Į𝑣𝑒𝑟𝑡</a:t>
              </a:r>
              <a:r>
                <a:rPr lang="en-GB" sz="1200" b="0" i="0">
                  <a:latin typeface="Cambria Math" panose="02040503050406030204" pitchFamily="18" charset="0"/>
                  <a:ea typeface="Cambria Math" panose="02040503050406030204" pitchFamily="18" charset="0"/>
                </a:rPr>
                <a:t>〗_</a:t>
              </a:r>
              <a:r>
                <a:rPr lang="lt-LT" sz="1200" b="0" i="0">
                  <a:latin typeface="Cambria Math" panose="02040503050406030204" pitchFamily="18" charset="0"/>
                  <a:ea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+𝑊_</a:t>
              </a:r>
              <a:r>
                <a:rPr lang="lt-LT" sz="1200" b="0" i="0">
                  <a:latin typeface="Cambria Math" panose="02040503050406030204" pitchFamily="18" charset="0"/>
                  <a:ea typeface="Cambria Math" panose="02040503050406030204" pitchFamily="18" charset="0"/>
                </a:rPr>
                <a:t>𝐾𝑜𝑘𝑦𝑏ė</a:t>
              </a:r>
              <a:r>
                <a:rPr lang="en-GB" sz="1200" b="0" i="0">
                  <a:latin typeface="Cambria Math" panose="02040503050406030204" pitchFamily="18" charset="0"/>
                  <a:ea typeface="Cambria Math" panose="02040503050406030204" pitchFamily="18" charset="0"/>
                </a:rPr>
                <a:t>×𝑄_𝑖,</a:t>
              </a:r>
              <a:endParaRPr lang="en-GB" sz="1200" b="0">
                <a:ea typeface="Cambria Math" panose="02040503050406030204" pitchFamily="18" charset="0"/>
              </a:endParaRPr>
            </a:p>
            <a:p>
              <a:r>
                <a:rPr lang="en-GB" sz="1200" b="0">
                  <a:ea typeface="Cambria Math" panose="02040503050406030204" pitchFamily="18" charset="0"/>
                </a:rPr>
                <a:t>kur </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Į𝑣𝑒𝑟𝑡</a:t>
              </a:r>
              <a:r>
                <a:rPr lang="en-GB" sz="1200" b="0" i="0">
                  <a:latin typeface="Cambria Math" panose="02040503050406030204" pitchFamily="18" charset="0"/>
                  <a:ea typeface="Cambria Math" panose="02040503050406030204" pitchFamily="18" charset="0"/>
                </a:rPr>
                <a:t>〗_</a:t>
              </a:r>
              <a:r>
                <a:rPr lang="lt-LT" sz="1200" b="0" i="0">
                  <a:latin typeface="Cambria Math" panose="02040503050406030204" pitchFamily="18" charset="0"/>
                  <a:ea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  </a:t>
              </a:r>
              <a:r>
                <a:rPr lang="lt-LT" sz="1200" b="0" i="0">
                  <a:solidFill>
                    <a:schemeClr val="tx1"/>
                  </a:solidFill>
                  <a:effectLst/>
                  <a:latin typeface="Cambria Math" panose="02040503050406030204" pitchFamily="18" charset="0"/>
                  <a:ea typeface="+mn-ea"/>
                  <a:cs typeface="+mn-cs"/>
                </a:rPr>
                <a:t>0 −𝑏𝑟𝑎𝑛𝑔𝑖𝑎𝑢𝑠𝑖𝑎𝑠,  </a:t>
              </a:r>
              <a:endParaRPr lang="en-US" sz="1200" b="0" i="1">
                <a:solidFill>
                  <a:schemeClr val="tx1"/>
                </a:solidFill>
                <a:effectLst/>
                <a:latin typeface="Cambria Math" panose="02040503050406030204" pitchFamily="18" charset="0"/>
                <a:ea typeface="+mn-ea"/>
                <a:cs typeface="+mn-cs"/>
              </a:endParaRPr>
            </a:p>
            <a:p>
              <a:r>
                <a:rPr lang="lt-LT" sz="1200" b="0" i="0">
                  <a:solidFill>
                    <a:schemeClr val="tx1"/>
                  </a:solidFill>
                  <a:effectLst/>
                  <a:latin typeface="Cambria Math" panose="02040503050406030204" pitchFamily="18" charset="0"/>
                  <a:ea typeface="+mn-ea"/>
                  <a:cs typeface="+mn-cs"/>
                </a:rPr>
                <a:t>1 −𝑝𝑖𝑔𝑖𝑎𝑢𝑠𝑖𝑎𝑠</a:t>
              </a:r>
              <a:r>
                <a:rPr lang="en-US" sz="1200" b="0" i="0">
                  <a:solidFill>
                    <a:schemeClr val="tx1"/>
                  </a:solidFill>
                  <a:effectLst/>
                  <a:latin typeface="Cambria Math" panose="02040503050406030204" pitchFamily="18" charset="0"/>
                  <a:ea typeface="+mn-ea"/>
                  <a:cs typeface="+mn-cs"/>
                </a:rPr>
                <a:t> </a:t>
              </a:r>
              <a:r>
                <a:rPr lang="lt-LT" sz="1200" b="0" i="0">
                  <a:latin typeface="Cambria Math" panose="02040503050406030204" pitchFamily="18" charset="0"/>
                  <a:ea typeface="Cambria Math" panose="02040503050406030204" pitchFamily="18" charset="0"/>
                </a:rPr>
                <a:t>𝑝𝑎𝑠𝑖ū𝑙𝑦𝑚𝑎𝑠</a:t>
              </a:r>
              <a:r>
                <a:rPr lang="lt-LT" sz="1200" b="0">
                  <a:ea typeface="Cambria Math" panose="02040503050406030204" pitchFamily="18" charset="0"/>
                </a:rPr>
                <a:t>, </a:t>
              </a:r>
              <a:endParaRPr lang="en-US" sz="1200" b="0">
                <a:ea typeface="Cambria Math" panose="02040503050406030204" pitchFamily="18" charset="0"/>
              </a:endParaRPr>
            </a:p>
            <a:p>
              <a:r>
                <a:rPr lang="lt-LT" sz="1200" b="0">
                  <a:ea typeface="Cambria Math" panose="02040503050406030204" pitchFamily="18" charset="0"/>
                </a:rPr>
                <a:t>kiti </a:t>
              </a:r>
              <a:r>
                <a:rPr lang="lt-LT" sz="1200" b="0" i="0">
                  <a:solidFill>
                    <a:schemeClr val="tx1"/>
                  </a:solidFill>
                  <a:effectLst/>
                  <a:latin typeface="Cambria Math" panose="02040503050406030204" pitchFamily="18" charset="0"/>
                  <a:ea typeface="+mn-ea"/>
                  <a:cs typeface="+mn-cs"/>
                </a:rPr>
                <a:t>−</a:t>
              </a:r>
              <a:r>
                <a:rPr lang="lt-LT" sz="1200" b="0">
                  <a:ea typeface="Cambria Math" panose="02040503050406030204" pitchFamily="18" charset="0"/>
                </a:rPr>
                <a:t> proporcingai</a:t>
              </a:r>
              <a:r>
                <a:rPr lang="en-GB" sz="1200" b="0">
                  <a:ea typeface="Cambria Math" panose="02040503050406030204" pitchFamily="18" charset="0"/>
                </a:rPr>
                <a:t> intervale nuo 0 iki 1</a:t>
              </a:r>
            </a:p>
          </xdr:txBody>
        </xdr:sp>
      </mc:Fallback>
    </mc:AlternateContent>
    <xdr:clientData/>
  </xdr:oneCellAnchor>
  <xdr:oneCellAnchor>
    <xdr:from>
      <xdr:col>15</xdr:col>
      <xdr:colOff>280987</xdr:colOff>
      <xdr:row>29</xdr:row>
      <xdr:rowOff>24492</xdr:rowOff>
    </xdr:from>
    <xdr:ext cx="2897011" cy="380361"/>
    <mc:AlternateContent xmlns:mc="http://schemas.openxmlformats.org/markup-compatibility/2006" xmlns:a14="http://schemas.microsoft.com/office/drawing/2010/main">
      <mc:Choice Requires="a14">
        <xdr:sp macro="" textlink="">
          <xdr:nvSpPr>
            <xdr:cNvPr id="51" name="TextBox 50">
              <a:extLst>
                <a:ext uri="{FF2B5EF4-FFF2-40B4-BE49-F238E27FC236}">
                  <a16:creationId xmlns:a16="http://schemas.microsoft.com/office/drawing/2014/main" id="{00000000-0008-0000-0300-000033000000}"/>
                </a:ext>
              </a:extLst>
            </xdr:cNvPr>
            <xdr:cNvSpPr txBox="1"/>
          </xdr:nvSpPr>
          <xdr:spPr>
            <a:xfrm>
              <a:off x="13968412" y="17169492"/>
              <a:ext cx="289701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rPr>
                        </m:ctrlPr>
                      </m:sSubPr>
                      <m:e>
                        <m:r>
                          <a:rPr lang="en-GB" sz="1100" b="0" i="1">
                            <a:latin typeface="Cambria Math" panose="02040503050406030204" pitchFamily="18" charset="0"/>
                          </a:rPr>
                          <m:t>𝑊</m:t>
                        </m:r>
                      </m:e>
                      <m:sub>
                        <m:r>
                          <a:rPr lang="lt-LT" sz="1100" b="0" i="1">
                            <a:latin typeface="Cambria Math" panose="02040503050406030204" pitchFamily="18" charset="0"/>
                          </a:rPr>
                          <m:t>𝐾𝑎𝑖𝑛𝑎</m:t>
                        </m:r>
                      </m:sub>
                    </m:sSub>
                    <m:r>
                      <a:rPr lang="en-GB" sz="1100" b="0" i="1">
                        <a:latin typeface="Cambria Math" panose="02040503050406030204" pitchFamily="18" charset="0"/>
                        <a:ea typeface="Cambria Math" panose="02040503050406030204" pitchFamily="18" charset="0"/>
                      </a:rPr>
                      <m:t>×</m:t>
                    </m:r>
                    <m:d>
                      <m:dPr>
                        <m:ctrlPr>
                          <a:rPr lang="en-GB" sz="1100" b="0" i="1">
                            <a:latin typeface="Cambria Math" panose="02040503050406030204" pitchFamily="18" charset="0"/>
                            <a:ea typeface="Cambria Math" panose="02040503050406030204" pitchFamily="18" charset="0"/>
                          </a:rPr>
                        </m:ctrlPr>
                      </m:dPr>
                      <m:e>
                        <m:r>
                          <a:rPr lang="en-GB" sz="1100" b="0" i="1">
                            <a:latin typeface="Cambria Math" panose="02040503050406030204" pitchFamily="18" charset="0"/>
                            <a:ea typeface="Cambria Math" panose="02040503050406030204" pitchFamily="18" charset="0"/>
                          </a:rPr>
                          <m:t>1−</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𝑖</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𝑀𝑎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𝑀𝑎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den>
                        </m:f>
                      </m:e>
                    </m:d>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𝐾𝑜𝑘𝑦𝑏</m:t>
                        </m:r>
                        <m:r>
                          <a:rPr lang="lt-LT" sz="1100" b="0" i="1">
                            <a:latin typeface="Cambria Math" panose="02040503050406030204" pitchFamily="18" charset="0"/>
                            <a:ea typeface="Cambria Math" panose="02040503050406030204" pitchFamily="18" charset="0"/>
                          </a:rPr>
                          <m:t>ė</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𝑖</m:t>
                        </m:r>
                      </m:sub>
                    </m:sSub>
                  </m:oMath>
                </m:oMathPara>
              </a14:m>
              <a:endParaRPr lang="en-GB" sz="1100"/>
            </a:p>
          </xdr:txBody>
        </xdr:sp>
      </mc:Choice>
      <mc:Fallback xmlns="">
        <xdr:sp macro="" textlink="">
          <xdr:nvSpPr>
            <xdr:cNvPr id="51" name="TextBox 50">
              <a:extLst>
                <a:ext uri="{FF2B5EF4-FFF2-40B4-BE49-F238E27FC236}">
                  <a16:creationId xmlns:a16="http://schemas.microsoft.com/office/drawing/2014/main" id="{B31328D8-8BEF-46F1-A8F0-A04084590256}"/>
                </a:ext>
              </a:extLst>
            </xdr:cNvPr>
            <xdr:cNvSpPr txBox="1"/>
          </xdr:nvSpPr>
          <xdr:spPr>
            <a:xfrm>
              <a:off x="13968412" y="17169492"/>
              <a:ext cx="289701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GB" sz="1100" b="0" i="0">
                  <a:latin typeface="Cambria Math" panose="02040503050406030204" pitchFamily="18" charset="0"/>
                </a:rPr>
                <a:t>𝑊_</a:t>
              </a:r>
              <a:r>
                <a:rPr lang="lt-LT" sz="1100" b="0" i="0">
                  <a:latin typeface="Cambria Math" panose="02040503050406030204" pitchFamily="18" charset="0"/>
                </a:rPr>
                <a:t>𝐾𝑎𝑖𝑛𝑎</a:t>
              </a:r>
              <a:r>
                <a:rPr lang="en-GB" sz="1100" b="0" i="0">
                  <a:latin typeface="Cambria Math" panose="02040503050406030204" pitchFamily="18" charset="0"/>
                  <a:ea typeface="Cambria Math" panose="02040503050406030204" pitchFamily="18" charset="0"/>
                </a:rPr>
                <a:t>×(1−(𝑃_𝑖−𝑃_</a:t>
              </a:r>
              <a:r>
                <a:rPr lang="lt-LT" sz="1100" b="0" i="0">
                  <a:latin typeface="Cambria Math" panose="02040503050406030204" pitchFamily="18" charset="0"/>
                  <a:ea typeface="Cambria Math" panose="02040503050406030204" pitchFamily="18" charset="0"/>
                </a:rPr>
                <a:t>𝑀𝑎ž𝑖𝑎𝑢𝑠𝑖𝑎</a:t>
              </a:r>
              <a:r>
                <a:rPr lang="en-GB" sz="1100" b="0" i="0">
                  <a:latin typeface="Cambria Math" panose="02040503050406030204" pitchFamily="18" charset="0"/>
                  <a:ea typeface="Cambria Math" panose="02040503050406030204" pitchFamily="18" charset="0"/>
                </a:rPr>
                <a:t>)/𝑃_</a:t>
              </a:r>
              <a:r>
                <a:rPr lang="lt-LT" sz="1100" b="0" i="0">
                  <a:latin typeface="Cambria Math" panose="02040503050406030204" pitchFamily="18" charset="0"/>
                  <a:ea typeface="Cambria Math" panose="02040503050406030204" pitchFamily="18" charset="0"/>
                </a:rPr>
                <a:t>𝑀𝑎ž𝑖𝑎𝑢𝑠𝑖𝑎 )</a:t>
              </a:r>
              <a:r>
                <a:rPr lang="en-GB" sz="1100" b="0" i="0">
                  <a:latin typeface="Cambria Math" panose="02040503050406030204" pitchFamily="18" charset="0"/>
                  <a:ea typeface="Cambria Math" panose="02040503050406030204" pitchFamily="18" charset="0"/>
                </a:rPr>
                <a:t>+𝑊_</a:t>
              </a:r>
              <a:r>
                <a:rPr lang="lt-LT" sz="1100" b="0" i="0">
                  <a:latin typeface="Cambria Math" panose="02040503050406030204" pitchFamily="18" charset="0"/>
                  <a:ea typeface="Cambria Math" panose="02040503050406030204" pitchFamily="18" charset="0"/>
                </a:rPr>
                <a:t>𝐾𝑜𝑘𝑦𝑏ė</a:t>
              </a:r>
              <a:r>
                <a:rPr lang="en-GB" sz="1100" b="0" i="0">
                  <a:latin typeface="Cambria Math" panose="02040503050406030204" pitchFamily="18" charset="0"/>
                  <a:ea typeface="Cambria Math" panose="02040503050406030204" pitchFamily="18" charset="0"/>
                </a:rPr>
                <a:t>×𝑄_𝑖</a:t>
              </a:r>
              <a:endParaRPr lang="en-GB" sz="1100"/>
            </a:p>
          </xdr:txBody>
        </xdr:sp>
      </mc:Fallback>
    </mc:AlternateContent>
    <xdr:clientData/>
  </xdr:oneCellAnchor>
  <xdr:oneCellAnchor>
    <xdr:from>
      <xdr:col>15</xdr:col>
      <xdr:colOff>186419</xdr:colOff>
      <xdr:row>29</xdr:row>
      <xdr:rowOff>870857</xdr:rowOff>
    </xdr:from>
    <xdr:ext cx="3147331" cy="380361"/>
    <mc:AlternateContent xmlns:mc="http://schemas.openxmlformats.org/markup-compatibility/2006" xmlns:a14="http://schemas.microsoft.com/office/drawing/2010/main">
      <mc:Choice Requires="a14">
        <xdr:sp macro="" textlink="">
          <xdr:nvSpPr>
            <xdr:cNvPr id="52" name="TextBox 51">
              <a:extLst>
                <a:ext uri="{FF2B5EF4-FFF2-40B4-BE49-F238E27FC236}">
                  <a16:creationId xmlns:a16="http://schemas.microsoft.com/office/drawing/2014/main" id="{00000000-0008-0000-0300-000034000000}"/>
                </a:ext>
              </a:extLst>
            </xdr:cNvPr>
            <xdr:cNvSpPr txBox="1"/>
          </xdr:nvSpPr>
          <xdr:spPr>
            <a:xfrm>
              <a:off x="13873844" y="17339582"/>
              <a:ext cx="314733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rPr>
                        </m:ctrlPr>
                      </m:sSubPr>
                      <m:e>
                        <m:r>
                          <a:rPr lang="en-GB" sz="1100" b="0" i="1">
                            <a:latin typeface="Cambria Math" panose="02040503050406030204" pitchFamily="18" charset="0"/>
                          </a:rPr>
                          <m:t>𝑊</m:t>
                        </m:r>
                      </m:e>
                      <m:sub>
                        <m:r>
                          <a:rPr lang="lt-LT" sz="1100" b="0" i="1">
                            <a:latin typeface="Cambria Math" panose="02040503050406030204" pitchFamily="18" charset="0"/>
                          </a:rPr>
                          <m:t>𝐾𝑎𝑖𝑛𝑎</m:t>
                        </m:r>
                      </m:sub>
                    </m:sSub>
                    <m:r>
                      <a:rPr lang="en-GB" sz="1100" b="0" i="1">
                        <a:latin typeface="Cambria Math" panose="02040503050406030204" pitchFamily="18" charset="0"/>
                        <a:ea typeface="Cambria Math" panose="02040503050406030204" pitchFamily="18" charset="0"/>
                      </a:rPr>
                      <m:t>×</m:t>
                    </m:r>
                    <m:d>
                      <m:dPr>
                        <m:ctrlPr>
                          <a:rPr lang="en-GB" sz="1100" b="0" i="1">
                            <a:latin typeface="Cambria Math" panose="02040503050406030204" pitchFamily="18" charset="0"/>
                            <a:ea typeface="Cambria Math" panose="02040503050406030204" pitchFamily="18" charset="0"/>
                          </a:rPr>
                        </m:ctrlPr>
                      </m:dPr>
                      <m:e>
                        <m:r>
                          <a:rPr lang="en-GB" sz="1100" b="0" i="1">
                            <a:latin typeface="Cambria Math" panose="02040503050406030204" pitchFamily="18" charset="0"/>
                            <a:ea typeface="Cambria Math" panose="02040503050406030204" pitchFamily="18" charset="0"/>
                          </a:rPr>
                          <m:t>1−</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𝑖</m:t>
                                </m:r>
                              </m:sub>
                            </m:sSub>
                            <m:r>
                              <a:rPr lang="lt-LT" sz="1100" b="0" i="1">
                                <a:latin typeface="Cambria Math" panose="02040503050406030204" pitchFamily="18" charset="0"/>
                                <a:ea typeface="Cambria Math" panose="02040503050406030204" pitchFamily="18" charset="0"/>
                              </a:rPr>
                              <m:t>−</m:t>
                            </m:r>
                            <m:sSub>
                              <m:sSubPr>
                                <m:ctrlPr>
                                  <a:rPr lang="lt-LT" sz="1100" b="0" i="1">
                                    <a:latin typeface="Cambria Math" panose="02040503050406030204" pitchFamily="18" charset="0"/>
                                    <a:ea typeface="Cambria Math" panose="02040503050406030204" pitchFamily="18" charset="0"/>
                                  </a:rPr>
                                </m:ctrlPr>
                              </m:sSubPr>
                              <m:e>
                                <m:r>
                                  <a:rPr lang="lt-LT"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2−</m:t>
                                </m:r>
                                <m:r>
                                  <a:rPr lang="lt-LT" sz="1100" b="0" i="1">
                                    <a:latin typeface="Cambria Math" panose="02040503050406030204" pitchFamily="18" charset="0"/>
                                    <a:ea typeface="Cambria Math" panose="02040503050406030204" pitchFamily="18" charset="0"/>
                                  </a:rPr>
                                  <m:t>𝑎</m:t>
                                </m:r>
                                <m:r>
                                  <a:rPr lang="lt-LT" sz="1100" b="0" i="1">
                                    <a:latin typeface="Cambria Math" panose="02040503050406030204" pitchFamily="18" charset="0"/>
                                    <a:ea typeface="Cambria Math" panose="02040503050406030204" pitchFamily="18" charset="0"/>
                                  </a:rPr>
                                  <m:t> </m:t>
                                </m:r>
                                <m:r>
                                  <a:rPr lang="lt-LT" sz="1100" b="0" i="1">
                                    <a:latin typeface="Cambria Math" panose="02040503050406030204" pitchFamily="18" charset="0"/>
                                    <a:ea typeface="Cambria Math" panose="02040503050406030204" pitchFamily="18" charset="0"/>
                                  </a:rPr>
                                  <m:t>𝑚𝑎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2</m:t>
                                </m:r>
                                <m:r>
                                  <a:rPr lang="lt-LT" sz="1100" b="0" i="1">
                                    <a:latin typeface="Cambria Math" panose="02040503050406030204" pitchFamily="18" charset="0"/>
                                    <a:ea typeface="Cambria Math" panose="02040503050406030204" pitchFamily="18" charset="0"/>
                                  </a:rPr>
                                  <m:t>−</m:t>
                                </m:r>
                                <m:r>
                                  <a:rPr lang="lt-LT" sz="1100" b="0" i="1">
                                    <a:latin typeface="Cambria Math" panose="02040503050406030204" pitchFamily="18" charset="0"/>
                                    <a:ea typeface="Cambria Math" panose="02040503050406030204" pitchFamily="18" charset="0"/>
                                  </a:rPr>
                                  <m:t>𝑎</m:t>
                                </m:r>
                                <m:r>
                                  <a:rPr lang="lt-LT" sz="1100" b="0" i="1">
                                    <a:latin typeface="Cambria Math" panose="02040503050406030204" pitchFamily="18" charset="0"/>
                                    <a:ea typeface="Cambria Math" panose="02040503050406030204" pitchFamily="18" charset="0"/>
                                  </a:rPr>
                                  <m:t> </m:t>
                                </m:r>
                                <m:r>
                                  <a:rPr lang="lt-LT" sz="1100" b="0" i="1">
                                    <a:latin typeface="Cambria Math" panose="02040503050406030204" pitchFamily="18" charset="0"/>
                                    <a:ea typeface="Cambria Math" panose="02040503050406030204" pitchFamily="18" charset="0"/>
                                  </a:rPr>
                                  <m:t>𝑚𝑎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den>
                        </m:f>
                      </m:e>
                    </m:d>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𝐾𝑜𝑘𝑦𝑏</m:t>
                        </m:r>
                        <m:r>
                          <a:rPr lang="lt-LT" sz="1100" b="0" i="1">
                            <a:latin typeface="Cambria Math" panose="02040503050406030204" pitchFamily="18" charset="0"/>
                            <a:ea typeface="Cambria Math" panose="02040503050406030204" pitchFamily="18" charset="0"/>
                          </a:rPr>
                          <m:t>ė</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𝑖</m:t>
                        </m:r>
                      </m:sub>
                    </m:sSub>
                  </m:oMath>
                </m:oMathPara>
              </a14:m>
              <a:endParaRPr lang="en-GB" sz="1100"/>
            </a:p>
          </xdr:txBody>
        </xdr:sp>
      </mc:Choice>
      <mc:Fallback xmlns="">
        <xdr:sp macro="" textlink="">
          <xdr:nvSpPr>
            <xdr:cNvPr id="52" name="TextBox 51">
              <a:extLst>
                <a:ext uri="{FF2B5EF4-FFF2-40B4-BE49-F238E27FC236}">
                  <a16:creationId xmlns:a16="http://schemas.microsoft.com/office/drawing/2014/main" id="{6C4EF343-C532-43EB-9EA4-0E0C030569EC}"/>
                </a:ext>
              </a:extLst>
            </xdr:cNvPr>
            <xdr:cNvSpPr txBox="1"/>
          </xdr:nvSpPr>
          <xdr:spPr>
            <a:xfrm>
              <a:off x="13873844" y="17339582"/>
              <a:ext cx="314733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1100" b="0" i="0">
                  <a:latin typeface="Cambria Math" panose="02040503050406030204" pitchFamily="18" charset="0"/>
                </a:rPr>
                <a:t>𝑊_</a:t>
              </a:r>
              <a:r>
                <a:rPr lang="lt-LT" sz="1100" b="0" i="0">
                  <a:latin typeface="Cambria Math" panose="02040503050406030204" pitchFamily="18" charset="0"/>
                </a:rPr>
                <a:t>𝐾𝑎𝑖𝑛𝑎</a:t>
              </a:r>
              <a:r>
                <a:rPr lang="en-GB" sz="1100" b="0" i="0">
                  <a:latin typeface="Cambria Math" panose="02040503050406030204" pitchFamily="18" charset="0"/>
                  <a:ea typeface="Cambria Math" panose="02040503050406030204" pitchFamily="18" charset="0"/>
                </a:rPr>
                <a:t>×(1−(𝑃_𝑖</a:t>
              </a:r>
              <a:r>
                <a:rPr lang="lt-LT" sz="1100" b="0" i="0">
                  <a:latin typeface="Cambria Math" panose="02040503050406030204" pitchFamily="18" charset="0"/>
                  <a:ea typeface="Cambria Math" panose="02040503050406030204" pitchFamily="18" charset="0"/>
                </a:rPr>
                <a:t>−𝑃_(2−𝑎 𝑚𝑎ž𝑖𝑎𝑢𝑠𝑖𝑎)</a:t>
              </a:r>
              <a:r>
                <a:rPr lang="en-GB" sz="1100" b="0" i="0">
                  <a:latin typeface="Cambria Math" panose="02040503050406030204" pitchFamily="18" charset="0"/>
                  <a:ea typeface="Cambria Math" panose="02040503050406030204" pitchFamily="18" charset="0"/>
                </a:rPr>
                <a:t>)/𝑃_(2</a:t>
              </a:r>
              <a:r>
                <a:rPr lang="lt-LT" sz="1100" b="0" i="0">
                  <a:latin typeface="Cambria Math" panose="02040503050406030204" pitchFamily="18" charset="0"/>
                  <a:ea typeface="Cambria Math" panose="02040503050406030204" pitchFamily="18" charset="0"/>
                </a:rPr>
                <a:t>−𝑎 𝑚𝑎ž𝑖𝑎𝑢𝑠𝑖𝑎</a:t>
              </a:r>
              <a:r>
                <a:rPr lang="en-GB" sz="1100" b="0" i="0">
                  <a:latin typeface="Cambria Math" panose="02040503050406030204" pitchFamily="18" charset="0"/>
                  <a:ea typeface="Cambria Math" panose="02040503050406030204" pitchFamily="18" charset="0"/>
                </a:rPr>
                <a:t>)</a:t>
              </a:r>
              <a:r>
                <a:rPr lang="lt-LT" sz="1100" b="0" i="0">
                  <a:latin typeface="Cambria Math" panose="02040503050406030204" pitchFamily="18" charset="0"/>
                  <a:ea typeface="Cambria Math" panose="02040503050406030204" pitchFamily="18" charset="0"/>
                </a:rPr>
                <a:t> )</a:t>
              </a:r>
              <a:r>
                <a:rPr lang="en-GB" sz="1100" b="0" i="0">
                  <a:latin typeface="Cambria Math" panose="02040503050406030204" pitchFamily="18" charset="0"/>
                  <a:ea typeface="Cambria Math" panose="02040503050406030204" pitchFamily="18" charset="0"/>
                </a:rPr>
                <a:t>+𝑊_</a:t>
              </a:r>
              <a:r>
                <a:rPr lang="lt-LT" sz="1100" b="0" i="0">
                  <a:latin typeface="Cambria Math" panose="02040503050406030204" pitchFamily="18" charset="0"/>
                  <a:ea typeface="Cambria Math" panose="02040503050406030204" pitchFamily="18" charset="0"/>
                </a:rPr>
                <a:t>𝐾𝑜𝑘𝑦𝑏ė</a:t>
              </a:r>
              <a:r>
                <a:rPr lang="en-GB" sz="1100" b="0" i="0">
                  <a:latin typeface="Cambria Math" panose="02040503050406030204" pitchFamily="18" charset="0"/>
                  <a:ea typeface="Cambria Math" panose="02040503050406030204" pitchFamily="18" charset="0"/>
                </a:rPr>
                <a:t>×𝑄_𝑖</a:t>
              </a:r>
              <a:endParaRPr lang="en-GB" sz="1100"/>
            </a:p>
          </xdr:txBody>
        </xdr:sp>
      </mc:Fallback>
    </mc:AlternateContent>
    <xdr:clientData/>
  </xdr:oneCellAnchor>
  <xdr:twoCellAnchor>
    <xdr:from>
      <xdr:col>15</xdr:col>
      <xdr:colOff>112942</xdr:colOff>
      <xdr:row>29</xdr:row>
      <xdr:rowOff>363313</xdr:rowOff>
    </xdr:from>
    <xdr:to>
      <xdr:col>15</xdr:col>
      <xdr:colOff>2857500</xdr:colOff>
      <xdr:row>29</xdr:row>
      <xdr:rowOff>925289</xdr:rowOff>
    </xdr:to>
    <xdr:sp macro="" textlink="">
      <xdr:nvSpPr>
        <xdr:cNvPr id="53" name="TextBox 52">
          <a:extLst>
            <a:ext uri="{FF2B5EF4-FFF2-40B4-BE49-F238E27FC236}">
              <a16:creationId xmlns:a16="http://schemas.microsoft.com/office/drawing/2014/main" id="{00000000-0008-0000-0300-000035000000}"/>
            </a:ext>
          </a:extLst>
        </xdr:cNvPr>
        <xdr:cNvSpPr txBox="1"/>
      </xdr:nvSpPr>
      <xdr:spPr>
        <a:xfrm>
          <a:off x="13800367" y="17336863"/>
          <a:ext cx="2744558" cy="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Jeigu </a:t>
          </a:r>
          <a:r>
            <a:rPr lang="lt-LT" sz="1000"/>
            <a:t>skirtumas tarp 1 ir 2 </a:t>
          </a:r>
          <a:r>
            <a:rPr lang="lt-LT" sz="1000" baseline="0"/>
            <a:t>pagal kainą pasiūlymo didesnis kaip 20</a:t>
          </a:r>
          <a:r>
            <a:rPr lang="en-GB" sz="1000" baseline="0"/>
            <a:t>%, antrasis gauna 80% kainos bal</a:t>
          </a:r>
          <a:r>
            <a:rPr lang="lt-LT" sz="1000" baseline="0"/>
            <a:t>ų, o kiti pagal formulę:</a:t>
          </a:r>
          <a:endParaRPr lang="en-GB" sz="1000"/>
        </a:p>
      </xdr:txBody>
    </xdr:sp>
    <xdr:clientData/>
  </xdr:twoCellAnchor>
  <xdr:oneCellAnchor>
    <xdr:from>
      <xdr:col>3</xdr:col>
      <xdr:colOff>61911</xdr:colOff>
      <xdr:row>53</xdr:row>
      <xdr:rowOff>76200</xdr:rowOff>
    </xdr:from>
    <xdr:ext cx="1614490" cy="527965"/>
    <mc:AlternateContent xmlns:mc="http://schemas.openxmlformats.org/markup-compatibility/2006" xmlns:a14="http://schemas.microsoft.com/office/drawing/2010/main">
      <mc:Choice Requires="a14">
        <xdr:sp macro="" textlink="">
          <xdr:nvSpPr>
            <xdr:cNvPr id="54" name="TextBox 53">
              <a:extLst>
                <a:ext uri="{FF2B5EF4-FFF2-40B4-BE49-F238E27FC236}">
                  <a16:creationId xmlns:a16="http://schemas.microsoft.com/office/drawing/2014/main" id="{00000000-0008-0000-0300-000036000000}"/>
                </a:ext>
              </a:extLst>
            </xdr:cNvPr>
            <xdr:cNvSpPr txBox="1"/>
          </xdr:nvSpPr>
          <xdr:spPr>
            <a:xfrm>
              <a:off x="3024186" y="21793200"/>
              <a:ext cx="1614490" cy="527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ea typeface="Cambria Math" panose="02040503050406030204" pitchFamily="18" charset="0"/>
                          </a:rPr>
                        </m:ctrlPr>
                      </m:sSubPr>
                      <m:e>
                        <m:r>
                          <a:rPr lang="lt-LT"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𝑄𝑛𝑡h</m:t>
                        </m:r>
                      </m:sub>
                    </m:sSub>
                    <m:r>
                      <a:rPr lang="en-GB" sz="1100" b="0" i="1">
                        <a:latin typeface="Cambria Math" panose="02040503050406030204" pitchFamily="18" charset="0"/>
                        <a:ea typeface="Cambria Math" panose="02040503050406030204" pitchFamily="18" charset="0"/>
                      </a:rPr>
                      <m:t>×</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𝑆𝑒𝑡𝑀𝑎𝑥</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𝑉𝑒𝑟𝑡𝑖𝑛𝑎𝑚𝑜</m:t>
                            </m:r>
                          </m:sub>
                        </m:sSub>
                      </m:num>
                      <m:den>
                        <m:d>
                          <m:dPr>
                            <m:begChr m:val="|"/>
                            <m:endChr m:val="|"/>
                            <m:ctrlPr>
                              <a:rPr lang="en-GB" sz="1100" b="0" i="1">
                                <a:latin typeface="Cambria Math" panose="02040503050406030204" pitchFamily="18" charset="0"/>
                                <a:ea typeface="Cambria Math" panose="02040503050406030204" pitchFamily="18" charset="0"/>
                              </a:rPr>
                            </m:ctrlPr>
                          </m:dPr>
                          <m:e>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𝑆𝑒𝑡𝑀𝑖𝑛</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𝑆𝑒𝑡𝑀𝑎𝑥</m:t>
                                </m:r>
                              </m:sub>
                            </m:sSub>
                          </m:e>
                        </m:d>
                      </m:den>
                    </m:f>
                  </m:oMath>
                </m:oMathPara>
              </a14:m>
              <a:endParaRPr lang="en-GB" sz="1100"/>
            </a:p>
          </xdr:txBody>
        </xdr:sp>
      </mc:Choice>
      <mc:Fallback xmlns="">
        <xdr:sp macro="" textlink="">
          <xdr:nvSpPr>
            <xdr:cNvPr id="54" name="TextBox 53">
              <a:extLst>
                <a:ext uri="{FF2B5EF4-FFF2-40B4-BE49-F238E27FC236}">
                  <a16:creationId xmlns:a16="http://schemas.microsoft.com/office/drawing/2014/main" id="{C4220695-0631-40CC-BB08-0AC59A8A9B89}"/>
                </a:ext>
              </a:extLst>
            </xdr:cNvPr>
            <xdr:cNvSpPr txBox="1"/>
          </xdr:nvSpPr>
          <xdr:spPr>
            <a:xfrm>
              <a:off x="3024186" y="21793200"/>
              <a:ext cx="1614490" cy="527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lt-LT" sz="1100" b="0" i="0">
                  <a:latin typeface="Cambria Math" panose="02040503050406030204" pitchFamily="18" charset="0"/>
                  <a:ea typeface="Cambria Math" panose="02040503050406030204" pitchFamily="18" charset="0"/>
                </a:rPr>
                <a:t>𝑊</a:t>
              </a:r>
              <a:r>
                <a:rPr lang="en-GB" sz="1100" b="0" i="0">
                  <a:latin typeface="Cambria Math" panose="02040503050406030204" pitchFamily="18" charset="0"/>
                  <a:ea typeface="Cambria Math" panose="02040503050406030204" pitchFamily="18" charset="0"/>
                </a:rPr>
                <a:t>_</a:t>
              </a:r>
              <a:r>
                <a:rPr lang="lt-LT" sz="1100" b="0" i="0">
                  <a:latin typeface="Cambria Math" panose="02040503050406030204" pitchFamily="18" charset="0"/>
                  <a:ea typeface="Cambria Math" panose="02040503050406030204" pitchFamily="18" charset="0"/>
                </a:rPr>
                <a:t>𝑄𝑛𝑡ℎ</a:t>
              </a:r>
              <a:r>
                <a:rPr lang="en-GB" sz="1100" b="0" i="0">
                  <a:latin typeface="Cambria Math" panose="02040503050406030204" pitchFamily="18" charset="0"/>
                  <a:ea typeface="Cambria Math" panose="02040503050406030204" pitchFamily="18" charset="0"/>
                </a:rPr>
                <a:t>×(𝑄_𝑆𝑒𝑡𝑀𝑎𝑥−𝑄_𝑉𝑒𝑟𝑡𝑖𝑛𝑎𝑚𝑜)/|𝑄_𝑆𝑒𝑡𝑀𝑖𝑛−𝑄_𝑆𝑒𝑡𝑀𝑎𝑥 | </a:t>
              </a:r>
              <a:endParaRPr lang="en-GB" sz="1100"/>
            </a:p>
          </xdr:txBody>
        </xdr:sp>
      </mc:Fallback>
    </mc:AlternateContent>
    <xdr:clientData/>
  </xdr:oneCellAnchor>
  <xdr:oneCellAnchor>
    <xdr:from>
      <xdr:col>3</xdr:col>
      <xdr:colOff>23812</xdr:colOff>
      <xdr:row>54</xdr:row>
      <xdr:rowOff>114300</xdr:rowOff>
    </xdr:from>
    <xdr:ext cx="1766888" cy="510589"/>
    <mc:AlternateContent xmlns:mc="http://schemas.openxmlformats.org/markup-compatibility/2006" xmlns:a14="http://schemas.microsoft.com/office/drawing/2010/main">
      <mc:Choice Requires="a14">
        <xdr:sp macro="" textlink="">
          <xdr:nvSpPr>
            <xdr:cNvPr id="55" name="TextBox 54">
              <a:extLst>
                <a:ext uri="{FF2B5EF4-FFF2-40B4-BE49-F238E27FC236}">
                  <a16:creationId xmlns:a16="http://schemas.microsoft.com/office/drawing/2014/main" id="{00000000-0008-0000-0300-000037000000}"/>
                </a:ext>
              </a:extLst>
            </xdr:cNvPr>
            <xdr:cNvSpPr txBox="1"/>
          </xdr:nvSpPr>
          <xdr:spPr>
            <a:xfrm>
              <a:off x="2986087" y="22021800"/>
              <a:ext cx="1766888" cy="5105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000" i="1">
                            <a:latin typeface="Cambria Math" panose="02040503050406030204" pitchFamily="18" charset="0"/>
                          </a:rPr>
                        </m:ctrlPr>
                      </m:sSubPr>
                      <m:e>
                        <m:r>
                          <a:rPr lang="lt-LT" sz="1000" b="0" i="1">
                            <a:latin typeface="Cambria Math" panose="02040503050406030204" pitchFamily="18" charset="0"/>
                          </a:rPr>
                          <m:t>𝑊</m:t>
                        </m:r>
                      </m:e>
                      <m:sub>
                        <m:r>
                          <a:rPr lang="lt-LT" sz="1000" b="0" i="1">
                            <a:latin typeface="Cambria Math" panose="02040503050406030204" pitchFamily="18" charset="0"/>
                          </a:rPr>
                          <m:t>𝑄𝑛𝑡h</m:t>
                        </m:r>
                      </m:sub>
                    </m:sSub>
                    <m:r>
                      <a:rPr lang="en-GB" sz="1000" i="1">
                        <a:latin typeface="Cambria Math" panose="02040503050406030204" pitchFamily="18" charset="0"/>
                        <a:ea typeface="Cambria Math" panose="02040503050406030204" pitchFamily="18" charset="0"/>
                      </a:rPr>
                      <m:t>×</m:t>
                    </m:r>
                    <m:d>
                      <m:dPr>
                        <m:ctrlPr>
                          <a:rPr lang="en-GB" sz="1000" i="1">
                            <a:latin typeface="Cambria Math" panose="02040503050406030204" pitchFamily="18" charset="0"/>
                            <a:ea typeface="Cambria Math" panose="02040503050406030204" pitchFamily="18" charset="0"/>
                          </a:rPr>
                        </m:ctrlPr>
                      </m:dPr>
                      <m:e>
                        <m:r>
                          <a:rPr lang="lt-LT" sz="1000" b="0" i="1">
                            <a:latin typeface="Cambria Math" panose="02040503050406030204" pitchFamily="18" charset="0"/>
                            <a:ea typeface="Cambria Math" panose="02040503050406030204" pitchFamily="18" charset="0"/>
                          </a:rPr>
                          <m:t>1−</m:t>
                        </m:r>
                        <m:f>
                          <m:fPr>
                            <m:ctrlPr>
                              <a:rPr lang="lt-LT" sz="1000" b="0" i="1">
                                <a:latin typeface="Cambria Math" panose="02040503050406030204" pitchFamily="18" charset="0"/>
                                <a:ea typeface="Cambria Math" panose="02040503050406030204" pitchFamily="18" charset="0"/>
                              </a:rPr>
                            </m:ctrlPr>
                          </m:fPr>
                          <m:num>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𝑆𝑒𝑡𝑀𝑎𝑥</m:t>
                                </m:r>
                                <m:r>
                                  <a:rPr lang="lt-LT" sz="1000" b="0" i="1">
                                    <a:latin typeface="Cambria Math" panose="02040503050406030204" pitchFamily="18" charset="0"/>
                                    <a:ea typeface="Cambria Math" panose="02040503050406030204" pitchFamily="18" charset="0"/>
                                  </a:rPr>
                                  <m:t>,</m:t>
                                </m:r>
                              </m:sub>
                            </m:sSub>
                            <m:r>
                              <a:rPr lang="lt-LT" sz="1000" b="0" i="1">
                                <a:latin typeface="Cambria Math" panose="02040503050406030204" pitchFamily="18" charset="0"/>
                                <a:ea typeface="Cambria Math" panose="02040503050406030204" pitchFamily="18" charset="0"/>
                              </a:rPr>
                              <m:t>−</m:t>
                            </m:r>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𝑉𝑒𝑟𝑡𝑖𝑛𝑎𝑚𝑜</m:t>
                                </m:r>
                              </m:sub>
                            </m:sSub>
                          </m:num>
                          <m:den>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𝑆𝑒𝑡𝑀𝑎𝑥</m:t>
                                </m:r>
                              </m:sub>
                            </m:sSub>
                            <m:r>
                              <a:rPr lang="lt-LT" sz="1000" b="0" i="1">
                                <a:latin typeface="Cambria Math" panose="02040503050406030204" pitchFamily="18" charset="0"/>
                                <a:ea typeface="Cambria Math" panose="02040503050406030204" pitchFamily="18" charset="0"/>
                              </a:rPr>
                              <m:t>−</m:t>
                            </m:r>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𝑆𝑒𝑡𝑀𝑖𝑛</m:t>
                                </m:r>
                              </m:sub>
                            </m:sSub>
                          </m:den>
                        </m:f>
                      </m:e>
                    </m:d>
                  </m:oMath>
                </m:oMathPara>
              </a14:m>
              <a:endParaRPr lang="en-GB" sz="1000"/>
            </a:p>
          </xdr:txBody>
        </xdr:sp>
      </mc:Choice>
      <mc:Fallback xmlns="">
        <xdr:sp macro="" textlink="">
          <xdr:nvSpPr>
            <xdr:cNvPr id="55" name="TextBox 54">
              <a:extLst>
                <a:ext uri="{FF2B5EF4-FFF2-40B4-BE49-F238E27FC236}">
                  <a16:creationId xmlns:a16="http://schemas.microsoft.com/office/drawing/2014/main" id="{4E30DB85-3E58-43DB-85BA-AAB45763D7C9}"/>
                </a:ext>
              </a:extLst>
            </xdr:cNvPr>
            <xdr:cNvSpPr txBox="1"/>
          </xdr:nvSpPr>
          <xdr:spPr>
            <a:xfrm>
              <a:off x="2986087" y="22021800"/>
              <a:ext cx="1766888" cy="5105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lt-LT" sz="1000" b="0" i="0">
                  <a:latin typeface="Cambria Math" panose="02040503050406030204" pitchFamily="18" charset="0"/>
                </a:rPr>
                <a:t>𝑊</a:t>
              </a:r>
              <a:r>
                <a:rPr lang="en-GB" sz="1000" b="0" i="0">
                  <a:latin typeface="Cambria Math" panose="02040503050406030204" pitchFamily="18" charset="0"/>
                </a:rPr>
                <a:t>_</a:t>
              </a:r>
              <a:r>
                <a:rPr lang="lt-LT" sz="1000" b="0" i="0">
                  <a:latin typeface="Cambria Math" panose="02040503050406030204" pitchFamily="18" charset="0"/>
                </a:rPr>
                <a:t>𝑄𝑛𝑡ℎ</a:t>
              </a:r>
              <a:r>
                <a:rPr lang="en-GB" sz="1000" i="0">
                  <a:latin typeface="Cambria Math" panose="02040503050406030204" pitchFamily="18" charset="0"/>
                  <a:ea typeface="Cambria Math" panose="02040503050406030204" pitchFamily="18" charset="0"/>
                </a:rPr>
                <a:t>×(</a:t>
              </a:r>
              <a:r>
                <a:rPr lang="lt-LT" sz="1000" b="0" i="0">
                  <a:latin typeface="Cambria Math" panose="02040503050406030204" pitchFamily="18" charset="0"/>
                  <a:ea typeface="Cambria Math" panose="02040503050406030204" pitchFamily="18" charset="0"/>
                </a:rPr>
                <a:t>1−(𝑄_(𝑆𝑒𝑡𝑀𝑎𝑥,)−𝑄_𝑉𝑒𝑟𝑡𝑖𝑛𝑎𝑚𝑜)/(𝑄_𝑆𝑒𝑡𝑀𝑎𝑥−𝑄_𝑆𝑒𝑡𝑀𝑖𝑛 ))</a:t>
              </a:r>
              <a:endParaRPr lang="en-GB" sz="1000"/>
            </a:p>
          </xdr:txBody>
        </xdr:sp>
      </mc:Fallback>
    </mc:AlternateContent>
    <xdr:clientData/>
  </xdr:oneCellAnchor>
  <xdr:oneCellAnchor>
    <xdr:from>
      <xdr:col>15</xdr:col>
      <xdr:colOff>459441</xdr:colOff>
      <xdr:row>17</xdr:row>
      <xdr:rowOff>268141</xdr:rowOff>
    </xdr:from>
    <xdr:ext cx="2152381" cy="697966"/>
    <xdr:pic>
      <xdr:nvPicPr>
        <xdr:cNvPr id="56" name="Picture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2"/>
        <a:stretch>
          <a:fillRect/>
        </a:stretch>
      </xdr:blipFill>
      <xdr:spPr>
        <a:xfrm>
          <a:off x="14146866" y="15050941"/>
          <a:ext cx="2152381" cy="697966"/>
        </a:xfrm>
        <a:prstGeom prst="rect">
          <a:avLst/>
        </a:prstGeom>
      </xdr:spPr>
    </xdr:pic>
    <xdr:clientData/>
  </xdr:oneCellAnchor>
  <xdr:oneCellAnchor>
    <xdr:from>
      <xdr:col>15</xdr:col>
      <xdr:colOff>324971</xdr:colOff>
      <xdr:row>18</xdr:row>
      <xdr:rowOff>33618</xdr:rowOff>
    </xdr:from>
    <xdr:ext cx="2895238" cy="891668"/>
    <xdr:pic>
      <xdr:nvPicPr>
        <xdr:cNvPr id="57" name="Picture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3"/>
        <a:stretch>
          <a:fillRect/>
        </a:stretch>
      </xdr:blipFill>
      <xdr:spPr>
        <a:xfrm>
          <a:off x="14012396" y="15083118"/>
          <a:ext cx="2895238" cy="891668"/>
        </a:xfrm>
        <a:prstGeom prst="rect">
          <a:avLst/>
        </a:prstGeom>
      </xdr:spPr>
    </xdr:pic>
    <xdr:clientData/>
  </xdr:oneCellAnchor>
  <xdr:oneCellAnchor>
    <xdr:from>
      <xdr:col>15</xdr:col>
      <xdr:colOff>367393</xdr:colOff>
      <xdr:row>20</xdr:row>
      <xdr:rowOff>204106</xdr:rowOff>
    </xdr:from>
    <xdr:ext cx="2875943" cy="816429"/>
    <xdr:pic>
      <xdr:nvPicPr>
        <xdr:cNvPr id="58" name="Picture 57">
          <a:extLst>
            <a:ext uri="{FF2B5EF4-FFF2-40B4-BE49-F238E27FC236}">
              <a16:creationId xmlns:a16="http://schemas.microsoft.com/office/drawing/2014/main" id="{00000000-0008-0000-0300-00003A000000}"/>
            </a:ext>
          </a:extLst>
        </xdr:cNvPr>
        <xdr:cNvPicPr>
          <a:picLocks noChangeAspect="1"/>
        </xdr:cNvPicPr>
      </xdr:nvPicPr>
      <xdr:blipFill rotWithShape="1">
        <a:blip xmlns:r="http://schemas.openxmlformats.org/officeDocument/2006/relationships" r:embed="rId4"/>
        <a:srcRect l="6595"/>
        <a:stretch/>
      </xdr:blipFill>
      <xdr:spPr>
        <a:xfrm>
          <a:off x="14054818" y="15625081"/>
          <a:ext cx="2875943" cy="816429"/>
        </a:xfrm>
        <a:prstGeom prst="rect">
          <a:avLst/>
        </a:prstGeom>
      </xdr:spPr>
    </xdr:pic>
    <xdr:clientData/>
  </xdr:oneCellAnchor>
  <xdr:oneCellAnchor>
    <xdr:from>
      <xdr:col>15</xdr:col>
      <xdr:colOff>946097</xdr:colOff>
      <xdr:row>1</xdr:row>
      <xdr:rowOff>175446</xdr:rowOff>
    </xdr:from>
    <xdr:ext cx="601436" cy="953947"/>
    <xdr:pic>
      <xdr:nvPicPr>
        <xdr:cNvPr id="59" name="Picture 58">
          <a:extLst>
            <a:ext uri="{FF2B5EF4-FFF2-40B4-BE49-F238E27FC236}">
              <a16:creationId xmlns:a16="http://schemas.microsoft.com/office/drawing/2014/main" id="{00000000-0008-0000-0300-00003B000000}"/>
            </a:ext>
          </a:extLst>
        </xdr:cNvPr>
        <xdr:cNvPicPr>
          <a:picLocks noChangeAspect="1"/>
        </xdr:cNvPicPr>
      </xdr:nvPicPr>
      <xdr:blipFill rotWithShape="1">
        <a:blip xmlns:r="http://schemas.openxmlformats.org/officeDocument/2006/relationships" r:embed="rId5"/>
        <a:srcRect l="22996"/>
        <a:stretch/>
      </xdr:blipFill>
      <xdr:spPr>
        <a:xfrm>
          <a:off x="10688811" y="746946"/>
          <a:ext cx="601436" cy="953947"/>
        </a:xfrm>
        <a:prstGeom prst="rect">
          <a:avLst/>
        </a:prstGeom>
      </xdr:spPr>
    </xdr:pic>
    <xdr:clientData/>
  </xdr:oneCellAnchor>
  <xdr:oneCellAnchor>
    <xdr:from>
      <xdr:col>15</xdr:col>
      <xdr:colOff>51707</xdr:colOff>
      <xdr:row>2</xdr:row>
      <xdr:rowOff>43543</xdr:rowOff>
    </xdr:from>
    <xdr:ext cx="3504680" cy="1031422"/>
    <xdr:pic>
      <xdr:nvPicPr>
        <xdr:cNvPr id="60" name="Picture 59">
          <a:extLst>
            <a:ext uri="{FF2B5EF4-FFF2-40B4-BE49-F238E27FC236}">
              <a16:creationId xmlns:a16="http://schemas.microsoft.com/office/drawing/2014/main" id="{00000000-0008-0000-0300-00003C000000}"/>
            </a:ext>
          </a:extLst>
        </xdr:cNvPr>
        <xdr:cNvPicPr>
          <a:picLocks noChangeAspect="1"/>
        </xdr:cNvPicPr>
      </xdr:nvPicPr>
      <xdr:blipFill>
        <a:blip xmlns:r="http://schemas.openxmlformats.org/officeDocument/2006/relationships" r:embed="rId6"/>
        <a:stretch>
          <a:fillRect/>
        </a:stretch>
      </xdr:blipFill>
      <xdr:spPr>
        <a:xfrm>
          <a:off x="9794421" y="1853293"/>
          <a:ext cx="3504680" cy="1031422"/>
        </a:xfrm>
        <a:prstGeom prst="rect">
          <a:avLst/>
        </a:prstGeom>
      </xdr:spPr>
    </xdr:pic>
    <xdr:clientData/>
  </xdr:oneCellAnchor>
  <xdr:oneCellAnchor>
    <xdr:from>
      <xdr:col>15</xdr:col>
      <xdr:colOff>776969</xdr:colOff>
      <xdr:row>3</xdr:row>
      <xdr:rowOff>186417</xdr:rowOff>
    </xdr:from>
    <xdr:ext cx="1857375" cy="888547"/>
    <xdr:pic>
      <xdr:nvPicPr>
        <xdr:cNvPr id="61" name="Picture 60">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7"/>
        <a:stretch>
          <a:fillRect/>
        </a:stretch>
      </xdr:blipFill>
      <xdr:spPr>
        <a:xfrm>
          <a:off x="10519683" y="3234417"/>
          <a:ext cx="1857375" cy="888547"/>
        </a:xfrm>
        <a:prstGeom prst="rect">
          <a:avLst/>
        </a:prstGeom>
      </xdr:spPr>
    </xdr:pic>
    <xdr:clientData/>
  </xdr:oneCellAnchor>
  <xdr:oneCellAnchor>
    <xdr:from>
      <xdr:col>15</xdr:col>
      <xdr:colOff>1115786</xdr:colOff>
      <xdr:row>4</xdr:row>
      <xdr:rowOff>238810</xdr:rowOff>
    </xdr:from>
    <xdr:ext cx="1057123" cy="863368"/>
    <xdr:pic>
      <xdr:nvPicPr>
        <xdr:cNvPr id="62" name="Picture 61">
          <a:extLst>
            <a:ext uri="{FF2B5EF4-FFF2-40B4-BE49-F238E27FC236}">
              <a16:creationId xmlns:a16="http://schemas.microsoft.com/office/drawing/2014/main" id="{00000000-0008-0000-0300-00003E000000}"/>
            </a:ext>
          </a:extLst>
        </xdr:cNvPr>
        <xdr:cNvPicPr>
          <a:picLocks noChangeAspect="1"/>
        </xdr:cNvPicPr>
      </xdr:nvPicPr>
      <xdr:blipFill rotWithShape="1">
        <a:blip xmlns:r="http://schemas.openxmlformats.org/officeDocument/2006/relationships" r:embed="rId8"/>
        <a:srcRect l="24381"/>
        <a:stretch/>
      </xdr:blipFill>
      <xdr:spPr>
        <a:xfrm>
          <a:off x="10858500" y="4525060"/>
          <a:ext cx="1057123" cy="863368"/>
        </a:xfrm>
        <a:prstGeom prst="rect">
          <a:avLst/>
        </a:prstGeom>
      </xdr:spPr>
    </xdr:pic>
    <xdr:clientData/>
  </xdr:oneCellAnchor>
  <xdr:oneCellAnchor>
    <xdr:from>
      <xdr:col>15</xdr:col>
      <xdr:colOff>435429</xdr:colOff>
      <xdr:row>6</xdr:row>
      <xdr:rowOff>178253</xdr:rowOff>
    </xdr:from>
    <xdr:ext cx="2878877" cy="896711"/>
    <xdr:pic>
      <xdr:nvPicPr>
        <xdr:cNvPr id="63" name="Picture 62">
          <a:extLst>
            <a:ext uri="{FF2B5EF4-FFF2-40B4-BE49-F238E27FC236}">
              <a16:creationId xmlns:a16="http://schemas.microsoft.com/office/drawing/2014/main" id="{00000000-0008-0000-0300-00003F000000}"/>
            </a:ext>
          </a:extLst>
        </xdr:cNvPr>
        <xdr:cNvPicPr>
          <a:picLocks noChangeAspect="1"/>
        </xdr:cNvPicPr>
      </xdr:nvPicPr>
      <xdr:blipFill rotWithShape="1">
        <a:blip xmlns:r="http://schemas.openxmlformats.org/officeDocument/2006/relationships" r:embed="rId9"/>
        <a:srcRect l="3423"/>
        <a:stretch/>
      </xdr:blipFill>
      <xdr:spPr>
        <a:xfrm>
          <a:off x="14122854" y="12941753"/>
          <a:ext cx="2878877" cy="896711"/>
        </a:xfrm>
        <a:prstGeom prst="rect">
          <a:avLst/>
        </a:prstGeom>
      </xdr:spPr>
    </xdr:pic>
    <xdr:clientData/>
  </xdr:oneCellAnchor>
  <xdr:oneCellAnchor>
    <xdr:from>
      <xdr:col>15</xdr:col>
      <xdr:colOff>90768</xdr:colOff>
      <xdr:row>7</xdr:row>
      <xdr:rowOff>307281</xdr:rowOff>
    </xdr:from>
    <xdr:ext cx="3409524" cy="754077"/>
    <xdr:pic>
      <xdr:nvPicPr>
        <xdr:cNvPr id="64" name="Picture 63">
          <a:extLst>
            <a:ext uri="{FF2B5EF4-FFF2-40B4-BE49-F238E27FC236}">
              <a16:creationId xmlns:a16="http://schemas.microsoft.com/office/drawing/2014/main" id="{00000000-0008-0000-0300-000040000000}"/>
            </a:ext>
          </a:extLst>
        </xdr:cNvPr>
        <xdr:cNvPicPr>
          <a:picLocks noChangeAspect="1"/>
        </xdr:cNvPicPr>
      </xdr:nvPicPr>
      <xdr:blipFill>
        <a:blip xmlns:r="http://schemas.openxmlformats.org/officeDocument/2006/relationships" r:embed="rId10"/>
        <a:stretch>
          <a:fillRect/>
        </a:stretch>
      </xdr:blipFill>
      <xdr:spPr>
        <a:xfrm>
          <a:off x="13778193" y="13337481"/>
          <a:ext cx="3409524" cy="754077"/>
        </a:xfrm>
        <a:prstGeom prst="rect">
          <a:avLst/>
        </a:prstGeom>
      </xdr:spPr>
    </xdr:pic>
    <xdr:clientData/>
  </xdr:oneCellAnchor>
  <xdr:oneCellAnchor>
    <xdr:from>
      <xdr:col>15</xdr:col>
      <xdr:colOff>733184</xdr:colOff>
      <xdr:row>5</xdr:row>
      <xdr:rowOff>194503</xdr:rowOff>
    </xdr:from>
    <xdr:ext cx="2147607" cy="894069"/>
    <xdr:pic>
      <xdr:nvPicPr>
        <xdr:cNvPr id="66" name="Picture 65">
          <a:extLst>
            <a:ext uri="{FF2B5EF4-FFF2-40B4-BE49-F238E27FC236}">
              <a16:creationId xmlns:a16="http://schemas.microsoft.com/office/drawing/2014/main" id="{00000000-0008-0000-0300-000042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475898" y="5719003"/>
          <a:ext cx="2147607" cy="8940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488256</xdr:colOff>
      <xdr:row>16</xdr:row>
      <xdr:rowOff>227319</xdr:rowOff>
    </xdr:from>
    <xdr:ext cx="2818279" cy="829235"/>
    <xdr:pic>
      <xdr:nvPicPr>
        <xdr:cNvPr id="67" name="Picture 66">
          <a:extLst>
            <a:ext uri="{FF2B5EF4-FFF2-40B4-BE49-F238E27FC236}">
              <a16:creationId xmlns:a16="http://schemas.microsoft.com/office/drawing/2014/main" id="{00000000-0008-0000-0300-000043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175681" y="13143219"/>
          <a:ext cx="2818279" cy="8292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736387</xdr:colOff>
      <xdr:row>8</xdr:row>
      <xdr:rowOff>252934</xdr:rowOff>
    </xdr:from>
    <xdr:ext cx="1938057" cy="808424"/>
    <xdr:pic>
      <xdr:nvPicPr>
        <xdr:cNvPr id="68" name="Picture 67">
          <a:extLst>
            <a:ext uri="{FF2B5EF4-FFF2-40B4-BE49-F238E27FC236}">
              <a16:creationId xmlns:a16="http://schemas.microsoft.com/office/drawing/2014/main" id="{00000000-0008-0000-0300-000044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79101" y="9492184"/>
          <a:ext cx="1938057" cy="808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1039747</xdr:colOff>
      <xdr:row>15</xdr:row>
      <xdr:rowOff>367392</xdr:rowOff>
    </xdr:from>
    <xdr:ext cx="1215278" cy="585107"/>
    <xdr:pic>
      <xdr:nvPicPr>
        <xdr:cNvPr id="69" name="Picture 68">
          <a:extLst>
            <a:ext uri="{FF2B5EF4-FFF2-40B4-BE49-F238E27FC236}">
              <a16:creationId xmlns:a16="http://schemas.microsoft.com/office/drawing/2014/main" id="{00000000-0008-0000-0300-000045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727172" y="14854917"/>
          <a:ext cx="1215278" cy="5851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1211037</xdr:colOff>
      <xdr:row>10</xdr:row>
      <xdr:rowOff>244929</xdr:rowOff>
    </xdr:from>
    <xdr:ext cx="925285" cy="784998"/>
    <xdr:pic>
      <xdr:nvPicPr>
        <xdr:cNvPr id="70" name="Picture 69">
          <a:extLst>
            <a:ext uri="{FF2B5EF4-FFF2-40B4-BE49-F238E27FC236}">
              <a16:creationId xmlns:a16="http://schemas.microsoft.com/office/drawing/2014/main" id="{00000000-0008-0000-0300-000046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953751" y="11960679"/>
          <a:ext cx="925285" cy="7849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789216</xdr:colOff>
      <xdr:row>13</xdr:row>
      <xdr:rowOff>244929</xdr:rowOff>
    </xdr:from>
    <xdr:ext cx="1768928" cy="884464"/>
    <xdr:pic>
      <xdr:nvPicPr>
        <xdr:cNvPr id="72" name="Picture 71">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476641" y="14475279"/>
          <a:ext cx="1768928" cy="8844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693964</xdr:colOff>
      <xdr:row>14</xdr:row>
      <xdr:rowOff>217716</xdr:rowOff>
    </xdr:from>
    <xdr:ext cx="2311854" cy="830033"/>
    <xdr:pic>
      <xdr:nvPicPr>
        <xdr:cNvPr id="73" name="Picture 72">
          <a:extLst>
            <a:ext uri="{FF2B5EF4-FFF2-40B4-BE49-F238E27FC236}">
              <a16:creationId xmlns:a16="http://schemas.microsoft.com/office/drawing/2014/main" id="{00000000-0008-0000-0300-000049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4381389" y="14667141"/>
          <a:ext cx="2311854" cy="83003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27214</xdr:colOff>
      <xdr:row>19</xdr:row>
      <xdr:rowOff>176894</xdr:rowOff>
    </xdr:from>
    <xdr:ext cx="3510643" cy="919841"/>
    <xdr:pic>
      <xdr:nvPicPr>
        <xdr:cNvPr id="74" name="Picture 73">
          <a:extLst>
            <a:ext uri="{FF2B5EF4-FFF2-40B4-BE49-F238E27FC236}">
              <a16:creationId xmlns:a16="http://schemas.microsoft.com/office/drawing/2014/main" id="{00000000-0008-0000-0300-00004A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3714639" y="15416894"/>
          <a:ext cx="3510643" cy="9198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517072</xdr:colOff>
      <xdr:row>21</xdr:row>
      <xdr:rowOff>204107</xdr:rowOff>
    </xdr:from>
    <xdr:ext cx="2521404" cy="857250"/>
    <xdr:pic>
      <xdr:nvPicPr>
        <xdr:cNvPr id="75" name="Picture 74">
          <a:extLst>
            <a:ext uri="{FF2B5EF4-FFF2-40B4-BE49-F238E27FC236}">
              <a16:creationId xmlns:a16="http://schemas.microsoft.com/office/drawing/2014/main" id="{00000000-0008-0000-0300-00004B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4204497" y="15815582"/>
          <a:ext cx="2521404" cy="857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367395</xdr:colOff>
      <xdr:row>22</xdr:row>
      <xdr:rowOff>108858</xdr:rowOff>
    </xdr:from>
    <xdr:ext cx="2835729" cy="922564"/>
    <xdr:pic>
      <xdr:nvPicPr>
        <xdr:cNvPr id="76" name="Picture 75">
          <a:extLst>
            <a:ext uri="{FF2B5EF4-FFF2-40B4-BE49-F238E27FC236}">
              <a16:creationId xmlns:a16="http://schemas.microsoft.com/office/drawing/2014/main" id="{00000000-0008-0000-0300-00004C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4054820" y="15920358"/>
          <a:ext cx="2835729" cy="9225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95251</xdr:colOff>
      <xdr:row>23</xdr:row>
      <xdr:rowOff>81640</xdr:rowOff>
    </xdr:from>
    <xdr:ext cx="3480707" cy="1074967"/>
    <xdr:pic>
      <xdr:nvPicPr>
        <xdr:cNvPr id="77" name="Picture 76">
          <a:extLst>
            <a:ext uri="{FF2B5EF4-FFF2-40B4-BE49-F238E27FC236}">
              <a16:creationId xmlns:a16="http://schemas.microsoft.com/office/drawing/2014/main" id="{00000000-0008-0000-0300-00004D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3782676" y="16083640"/>
          <a:ext cx="3480707" cy="10749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258536</xdr:colOff>
      <xdr:row>24</xdr:row>
      <xdr:rowOff>149680</xdr:rowOff>
    </xdr:from>
    <xdr:ext cx="2966357" cy="866774"/>
    <xdr:pic>
      <xdr:nvPicPr>
        <xdr:cNvPr id="78" name="Picture 77">
          <a:extLst>
            <a:ext uri="{FF2B5EF4-FFF2-40B4-BE49-F238E27FC236}">
              <a16:creationId xmlns:a16="http://schemas.microsoft.com/office/drawing/2014/main" id="{00000000-0008-0000-0300-00004E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3945961" y="16342180"/>
          <a:ext cx="2966357" cy="866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95251</xdr:colOff>
      <xdr:row>25</xdr:row>
      <xdr:rowOff>299356</xdr:rowOff>
    </xdr:from>
    <xdr:ext cx="3429000" cy="762001"/>
    <xdr:pic>
      <xdr:nvPicPr>
        <xdr:cNvPr id="79" name="Picture 78">
          <a:extLst>
            <a:ext uri="{FF2B5EF4-FFF2-40B4-BE49-F238E27FC236}">
              <a16:creationId xmlns:a16="http://schemas.microsoft.com/office/drawing/2014/main" id="{00000000-0008-0000-0300-00004F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3782676" y="16577581"/>
          <a:ext cx="3429000" cy="7620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421823</xdr:colOff>
      <xdr:row>26</xdr:row>
      <xdr:rowOff>217715</xdr:rowOff>
    </xdr:from>
    <xdr:ext cx="2549979" cy="870856"/>
    <xdr:pic>
      <xdr:nvPicPr>
        <xdr:cNvPr id="80" name="Picture 79">
          <a:extLst>
            <a:ext uri="{FF2B5EF4-FFF2-40B4-BE49-F238E27FC236}">
              <a16:creationId xmlns:a16="http://schemas.microsoft.com/office/drawing/2014/main" id="{00000000-0008-0000-0300-000050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4109248" y="16762640"/>
          <a:ext cx="2549979" cy="8708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381000</xdr:colOff>
      <xdr:row>27</xdr:row>
      <xdr:rowOff>54428</xdr:rowOff>
    </xdr:from>
    <xdr:ext cx="2789465" cy="1115785"/>
    <xdr:pic>
      <xdr:nvPicPr>
        <xdr:cNvPr id="81" name="Picture 80">
          <a:extLst>
            <a:ext uri="{FF2B5EF4-FFF2-40B4-BE49-F238E27FC236}">
              <a16:creationId xmlns:a16="http://schemas.microsoft.com/office/drawing/2014/main" id="{00000000-0008-0000-0300-000051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4068425" y="16818428"/>
          <a:ext cx="2789465" cy="11157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122464</xdr:colOff>
      <xdr:row>28</xdr:row>
      <xdr:rowOff>108857</xdr:rowOff>
    </xdr:from>
    <xdr:ext cx="3328307" cy="884465"/>
    <xdr:pic>
      <xdr:nvPicPr>
        <xdr:cNvPr id="82" name="Picture 81">
          <a:extLst>
            <a:ext uri="{FF2B5EF4-FFF2-40B4-BE49-F238E27FC236}">
              <a16:creationId xmlns:a16="http://schemas.microsoft.com/office/drawing/2014/main" id="{00000000-0008-0000-0300-000052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3809889" y="17063357"/>
          <a:ext cx="3328307" cy="8844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149679</xdr:colOff>
      <xdr:row>30</xdr:row>
      <xdr:rowOff>163284</xdr:rowOff>
    </xdr:from>
    <xdr:ext cx="3194957" cy="830037"/>
    <xdr:pic>
      <xdr:nvPicPr>
        <xdr:cNvPr id="83" name="Picture 82">
          <a:extLst>
            <a:ext uri="{FF2B5EF4-FFF2-40B4-BE49-F238E27FC236}">
              <a16:creationId xmlns:a16="http://schemas.microsoft.com/office/drawing/2014/main" id="{00000000-0008-0000-0300-000053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3837104" y="17498784"/>
          <a:ext cx="3194957" cy="8300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40823</xdr:colOff>
      <xdr:row>31</xdr:row>
      <xdr:rowOff>299360</xdr:rowOff>
    </xdr:from>
    <xdr:ext cx="3528332" cy="747032"/>
    <xdr:pic>
      <xdr:nvPicPr>
        <xdr:cNvPr id="84" name="Picture 83">
          <a:extLst>
            <a:ext uri="{FF2B5EF4-FFF2-40B4-BE49-F238E27FC236}">
              <a16:creationId xmlns:a16="http://schemas.microsoft.com/office/drawing/2014/main" id="{00000000-0008-0000-0300-000054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3728248" y="17720585"/>
          <a:ext cx="3528332" cy="7470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244930</xdr:colOff>
      <xdr:row>32</xdr:row>
      <xdr:rowOff>204106</xdr:rowOff>
    </xdr:from>
    <xdr:ext cx="3080657" cy="830036"/>
    <xdr:pic>
      <xdr:nvPicPr>
        <xdr:cNvPr id="85" name="Picture 84">
          <a:extLst>
            <a:ext uri="{FF2B5EF4-FFF2-40B4-BE49-F238E27FC236}">
              <a16:creationId xmlns:a16="http://schemas.microsoft.com/office/drawing/2014/main" id="{00000000-0008-0000-0300-000055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3932355" y="17911081"/>
          <a:ext cx="3080657" cy="830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272145</xdr:colOff>
      <xdr:row>34</xdr:row>
      <xdr:rowOff>163286</xdr:rowOff>
    </xdr:from>
    <xdr:ext cx="2930979" cy="870858"/>
    <xdr:pic>
      <xdr:nvPicPr>
        <xdr:cNvPr id="87" name="Picture 86">
          <a:extLst>
            <a:ext uri="{FF2B5EF4-FFF2-40B4-BE49-F238E27FC236}">
              <a16:creationId xmlns:a16="http://schemas.microsoft.com/office/drawing/2014/main" id="{00000000-0008-0000-0300-000057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3959570" y="18260786"/>
          <a:ext cx="2930979" cy="8708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217715</xdr:colOff>
      <xdr:row>35</xdr:row>
      <xdr:rowOff>217714</xdr:rowOff>
    </xdr:from>
    <xdr:ext cx="3147332" cy="830036"/>
    <xdr:pic>
      <xdr:nvPicPr>
        <xdr:cNvPr id="88" name="Picture 87">
          <a:extLst>
            <a:ext uri="{FF2B5EF4-FFF2-40B4-BE49-F238E27FC236}">
              <a16:creationId xmlns:a16="http://schemas.microsoft.com/office/drawing/2014/main" id="{00000000-0008-0000-0300-000058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3905140" y="18477139"/>
          <a:ext cx="3147332" cy="830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149681</xdr:colOff>
      <xdr:row>42</xdr:row>
      <xdr:rowOff>95250</xdr:rowOff>
    </xdr:from>
    <xdr:ext cx="3360964" cy="993322"/>
    <xdr:pic>
      <xdr:nvPicPr>
        <xdr:cNvPr id="89" name="Picture 88">
          <a:extLst>
            <a:ext uri="{FF2B5EF4-FFF2-40B4-BE49-F238E27FC236}">
              <a16:creationId xmlns:a16="http://schemas.microsoft.com/office/drawing/2014/main" id="{00000000-0008-0000-0300-000059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3837106" y="19716750"/>
          <a:ext cx="3360964" cy="9933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13607</xdr:colOff>
      <xdr:row>41</xdr:row>
      <xdr:rowOff>190500</xdr:rowOff>
    </xdr:from>
    <xdr:ext cx="3509282" cy="857250"/>
    <xdr:pic>
      <xdr:nvPicPr>
        <xdr:cNvPr id="90" name="Picture 89">
          <a:extLst>
            <a:ext uri="{FF2B5EF4-FFF2-40B4-BE49-F238E27FC236}">
              <a16:creationId xmlns:a16="http://schemas.microsoft.com/office/drawing/2014/main" id="{00000000-0008-0000-0300-00005A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3701032" y="19621500"/>
          <a:ext cx="3509282" cy="857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122466</xdr:colOff>
      <xdr:row>40</xdr:row>
      <xdr:rowOff>122463</xdr:rowOff>
    </xdr:from>
    <xdr:ext cx="3415393" cy="938893"/>
    <xdr:pic>
      <xdr:nvPicPr>
        <xdr:cNvPr id="91" name="Picture 90">
          <a:extLst>
            <a:ext uri="{FF2B5EF4-FFF2-40B4-BE49-F238E27FC236}">
              <a16:creationId xmlns:a16="http://schemas.microsoft.com/office/drawing/2014/main" id="{00000000-0008-0000-0300-00005B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3809891" y="19362963"/>
          <a:ext cx="3415393" cy="9388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122465</xdr:colOff>
      <xdr:row>39</xdr:row>
      <xdr:rowOff>217716</xdr:rowOff>
    </xdr:from>
    <xdr:ext cx="3261632" cy="816427"/>
    <xdr:pic>
      <xdr:nvPicPr>
        <xdr:cNvPr id="92" name="Picture 91">
          <a:extLst>
            <a:ext uri="{FF2B5EF4-FFF2-40B4-BE49-F238E27FC236}">
              <a16:creationId xmlns:a16="http://schemas.microsoft.com/office/drawing/2014/main" id="{00000000-0008-0000-0300-00005C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3809890" y="19239141"/>
          <a:ext cx="3261632" cy="8164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68035</xdr:colOff>
      <xdr:row>38</xdr:row>
      <xdr:rowOff>231322</xdr:rowOff>
    </xdr:from>
    <xdr:ext cx="3442608" cy="870856"/>
    <xdr:pic>
      <xdr:nvPicPr>
        <xdr:cNvPr id="93" name="Picture 92">
          <a:extLst>
            <a:ext uri="{FF2B5EF4-FFF2-40B4-BE49-F238E27FC236}">
              <a16:creationId xmlns:a16="http://schemas.microsoft.com/office/drawing/2014/main" id="{00000000-0008-0000-0300-00005D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3755460" y="19052722"/>
          <a:ext cx="3442608" cy="8708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68037</xdr:colOff>
      <xdr:row>37</xdr:row>
      <xdr:rowOff>176893</xdr:rowOff>
    </xdr:from>
    <xdr:ext cx="3318782" cy="925286"/>
    <xdr:pic>
      <xdr:nvPicPr>
        <xdr:cNvPr id="94" name="Picture 93">
          <a:extLst>
            <a:ext uri="{FF2B5EF4-FFF2-40B4-BE49-F238E27FC236}">
              <a16:creationId xmlns:a16="http://schemas.microsoft.com/office/drawing/2014/main" id="{00000000-0008-0000-0300-00005E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3755462" y="18845893"/>
          <a:ext cx="3318782" cy="9252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1292679</xdr:colOff>
      <xdr:row>9</xdr:row>
      <xdr:rowOff>204107</xdr:rowOff>
    </xdr:from>
    <xdr:ext cx="870858" cy="902526"/>
    <xdr:pic>
      <xdr:nvPicPr>
        <xdr:cNvPr id="95" name="Picture 94">
          <a:extLst>
            <a:ext uri="{FF2B5EF4-FFF2-40B4-BE49-F238E27FC236}">
              <a16:creationId xmlns:a16="http://schemas.microsoft.com/office/drawing/2014/main" id="{00000000-0008-0000-0300-00005F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1035393" y="10681607"/>
          <a:ext cx="870858" cy="9025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15</xdr:col>
      <xdr:colOff>204108</xdr:colOff>
      <xdr:row>11</xdr:row>
      <xdr:rowOff>476250</xdr:rowOff>
    </xdr:from>
    <xdr:to>
      <xdr:col>15</xdr:col>
      <xdr:colOff>3552826</xdr:colOff>
      <xdr:row>11</xdr:row>
      <xdr:rowOff>2277837</xdr:rowOff>
    </xdr:to>
    <xdr:pic>
      <xdr:nvPicPr>
        <xdr:cNvPr id="96" name="Picture 95">
          <a:extLst>
            <a:ext uri="{FF2B5EF4-FFF2-40B4-BE49-F238E27FC236}">
              <a16:creationId xmlns:a16="http://schemas.microsoft.com/office/drawing/2014/main" id="{00000000-0008-0000-0300-000060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9946822" y="13430250"/>
          <a:ext cx="3348718" cy="1801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775608</xdr:colOff>
      <xdr:row>12</xdr:row>
      <xdr:rowOff>272143</xdr:rowOff>
    </xdr:from>
    <xdr:to>
      <xdr:col>15</xdr:col>
      <xdr:colOff>2748644</xdr:colOff>
      <xdr:row>12</xdr:row>
      <xdr:rowOff>976993</xdr:rowOff>
    </xdr:to>
    <xdr:pic>
      <xdr:nvPicPr>
        <xdr:cNvPr id="97" name="Picture 96">
          <a:extLst>
            <a:ext uri="{FF2B5EF4-FFF2-40B4-BE49-F238E27FC236}">
              <a16:creationId xmlns:a16="http://schemas.microsoft.com/office/drawing/2014/main" id="{00000000-0008-0000-0300-000061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0518322" y="14464393"/>
          <a:ext cx="1973036"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108859</xdr:colOff>
      <xdr:row>33</xdr:row>
      <xdr:rowOff>136072</xdr:rowOff>
    </xdr:from>
    <xdr:to>
      <xdr:col>15</xdr:col>
      <xdr:colOff>3633109</xdr:colOff>
      <xdr:row>33</xdr:row>
      <xdr:rowOff>1064117</xdr:rowOff>
    </xdr:to>
    <xdr:pic>
      <xdr:nvPicPr>
        <xdr:cNvPr id="65" name="Picture 64">
          <a:extLst>
            <a:ext uri="{FF2B5EF4-FFF2-40B4-BE49-F238E27FC236}">
              <a16:creationId xmlns:a16="http://schemas.microsoft.com/office/drawing/2014/main" id="{00000000-0008-0000-0300-000041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9851573" y="41787536"/>
          <a:ext cx="3524250" cy="928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11206</xdr:colOff>
      <xdr:row>21</xdr:row>
      <xdr:rowOff>942696</xdr:rowOff>
    </xdr:from>
    <xdr:to>
      <xdr:col>25</xdr:col>
      <xdr:colOff>60512</xdr:colOff>
      <xdr:row>23</xdr:row>
      <xdr:rowOff>62755</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26</xdr:col>
      <xdr:colOff>89647</xdr:colOff>
      <xdr:row>21</xdr:row>
      <xdr:rowOff>1030941</xdr:rowOff>
    </xdr:to>
    <xdr:pic>
      <xdr:nvPicPr>
        <xdr:cNvPr id="7" name="Picture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6992471" cy="3709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180975</xdr:colOff>
      <xdr:row>0</xdr:row>
      <xdr:rowOff>200025</xdr:rowOff>
    </xdr:from>
    <xdr:to>
      <xdr:col>1</xdr:col>
      <xdr:colOff>942880</xdr:colOff>
      <xdr:row>0</xdr:row>
      <xdr:rowOff>847644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323975" y="200025"/>
          <a:ext cx="761905" cy="647619"/>
        </a:xfrm>
        <a:prstGeom prst="rect">
          <a:avLst/>
        </a:prstGeom>
      </xdr:spPr>
    </xdr:pic>
    <xdr:clientData/>
  </xdr:twoCellAnchor>
  <xdr:twoCellAnchor editAs="oneCell">
    <xdr:from>
      <xdr:col>3</xdr:col>
      <xdr:colOff>152400</xdr:colOff>
      <xdr:row>0</xdr:row>
      <xdr:rowOff>276225</xdr:rowOff>
    </xdr:from>
    <xdr:to>
      <xdr:col>3</xdr:col>
      <xdr:colOff>914305</xdr:colOff>
      <xdr:row>0</xdr:row>
      <xdr:rowOff>933368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3810000" y="276225"/>
          <a:ext cx="761905" cy="657143"/>
        </a:xfrm>
        <a:prstGeom prst="rect">
          <a:avLst/>
        </a:prstGeom>
      </xdr:spPr>
    </xdr:pic>
    <xdr:clientData/>
  </xdr:twoCellAnchor>
  <xdr:twoCellAnchor editAs="oneCell">
    <xdr:from>
      <xdr:col>3</xdr:col>
      <xdr:colOff>190500</xdr:colOff>
      <xdr:row>1</xdr:row>
      <xdr:rowOff>114300</xdr:rowOff>
    </xdr:from>
    <xdr:to>
      <xdr:col>3</xdr:col>
      <xdr:colOff>885738</xdr:colOff>
      <xdr:row>1</xdr:row>
      <xdr:rowOff>780967</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3848100" y="1038225"/>
          <a:ext cx="695238" cy="666667"/>
        </a:xfrm>
        <a:prstGeom prst="rect">
          <a:avLst/>
        </a:prstGeom>
      </xdr:spPr>
    </xdr:pic>
    <xdr:clientData/>
  </xdr:twoCellAnchor>
  <xdr:twoCellAnchor editAs="oneCell">
    <xdr:from>
      <xdr:col>3</xdr:col>
      <xdr:colOff>85725</xdr:colOff>
      <xdr:row>2</xdr:row>
      <xdr:rowOff>104775</xdr:rowOff>
    </xdr:from>
    <xdr:to>
      <xdr:col>3</xdr:col>
      <xdr:colOff>819058</xdr:colOff>
      <xdr:row>2</xdr:row>
      <xdr:rowOff>780965</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3743325" y="1885950"/>
          <a:ext cx="733333" cy="676190"/>
        </a:xfrm>
        <a:prstGeom prst="rect">
          <a:avLst/>
        </a:prstGeom>
      </xdr:spPr>
    </xdr:pic>
    <xdr:clientData/>
  </xdr:twoCellAnchor>
  <xdr:twoCellAnchor editAs="oneCell">
    <xdr:from>
      <xdr:col>3</xdr:col>
      <xdr:colOff>57150</xdr:colOff>
      <xdr:row>3</xdr:row>
      <xdr:rowOff>19050</xdr:rowOff>
    </xdr:from>
    <xdr:to>
      <xdr:col>3</xdr:col>
      <xdr:colOff>876198</xdr:colOff>
      <xdr:row>3</xdr:row>
      <xdr:rowOff>857145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a:stretch>
          <a:fillRect/>
        </a:stretch>
      </xdr:blipFill>
      <xdr:spPr>
        <a:xfrm>
          <a:off x="3714750" y="2676525"/>
          <a:ext cx="819048" cy="838095"/>
        </a:xfrm>
        <a:prstGeom prst="rect">
          <a:avLst/>
        </a:prstGeom>
      </xdr:spPr>
    </xdr:pic>
    <xdr:clientData/>
  </xdr:twoCellAnchor>
  <xdr:twoCellAnchor editAs="oneCell">
    <xdr:from>
      <xdr:col>5</xdr:col>
      <xdr:colOff>133350</xdr:colOff>
      <xdr:row>0</xdr:row>
      <xdr:rowOff>200025</xdr:rowOff>
    </xdr:from>
    <xdr:to>
      <xdr:col>5</xdr:col>
      <xdr:colOff>876207</xdr:colOff>
      <xdr:row>0</xdr:row>
      <xdr:rowOff>885739</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a:stretch>
          <a:fillRect/>
        </a:stretch>
      </xdr:blipFill>
      <xdr:spPr>
        <a:xfrm>
          <a:off x="6238875" y="200025"/>
          <a:ext cx="742857" cy="685714"/>
        </a:xfrm>
        <a:prstGeom prst="rect">
          <a:avLst/>
        </a:prstGeom>
      </xdr:spPr>
    </xdr:pic>
    <xdr:clientData/>
  </xdr:twoCellAnchor>
  <xdr:twoCellAnchor editAs="oneCell">
    <xdr:from>
      <xdr:col>1</xdr:col>
      <xdr:colOff>228600</xdr:colOff>
      <xdr:row>1</xdr:row>
      <xdr:rowOff>138546</xdr:rowOff>
    </xdr:from>
    <xdr:to>
      <xdr:col>1</xdr:col>
      <xdr:colOff>1000125</xdr:colOff>
      <xdr:row>1</xdr:row>
      <xdr:rowOff>816553</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7"/>
        <a:stretch>
          <a:fillRect/>
        </a:stretch>
      </xdr:blipFill>
      <xdr:spPr>
        <a:xfrm>
          <a:off x="1371600" y="1062471"/>
          <a:ext cx="771525" cy="678007"/>
        </a:xfrm>
        <a:prstGeom prst="rect">
          <a:avLst/>
        </a:prstGeom>
      </xdr:spPr>
    </xdr:pic>
    <xdr:clientData/>
  </xdr:twoCellAnchor>
  <xdr:twoCellAnchor editAs="oneCell">
    <xdr:from>
      <xdr:col>9</xdr:col>
      <xdr:colOff>200025</xdr:colOff>
      <xdr:row>2</xdr:row>
      <xdr:rowOff>57149</xdr:rowOff>
    </xdr:from>
    <xdr:to>
      <xdr:col>9</xdr:col>
      <xdr:colOff>971550</xdr:colOff>
      <xdr:row>2</xdr:row>
      <xdr:rowOff>828674</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flipH="1">
          <a:off x="8705850" y="1838324"/>
          <a:ext cx="771525" cy="771525"/>
        </a:xfrm>
        <a:prstGeom prst="rect">
          <a:avLst/>
        </a:prstGeom>
      </xdr:spPr>
    </xdr:pic>
    <xdr:clientData/>
  </xdr:twoCellAnchor>
  <xdr:twoCellAnchor editAs="oneCell">
    <xdr:from>
      <xdr:col>9</xdr:col>
      <xdr:colOff>156416</xdr:colOff>
      <xdr:row>1</xdr:row>
      <xdr:rowOff>28575</xdr:rowOff>
    </xdr:from>
    <xdr:to>
      <xdr:col>9</xdr:col>
      <xdr:colOff>1042691</xdr:colOff>
      <xdr:row>1</xdr:row>
      <xdr:rowOff>809625</xdr:rowOff>
    </xdr:to>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flipH="1">
          <a:off x="8662241" y="952500"/>
          <a:ext cx="886275" cy="781050"/>
        </a:xfrm>
        <a:prstGeom prst="rect">
          <a:avLst/>
        </a:prstGeom>
      </xdr:spPr>
    </xdr:pic>
    <xdr:clientData/>
  </xdr:twoCellAnchor>
  <xdr:twoCellAnchor editAs="oneCell">
    <xdr:from>
      <xdr:col>12</xdr:col>
      <xdr:colOff>180974</xdr:colOff>
      <xdr:row>0</xdr:row>
      <xdr:rowOff>9526</xdr:rowOff>
    </xdr:from>
    <xdr:to>
      <xdr:col>12</xdr:col>
      <xdr:colOff>1123950</xdr:colOff>
      <xdr:row>0</xdr:row>
      <xdr:rowOff>952502</xdr:rowOff>
    </xdr:to>
    <xdr:pic>
      <xdr:nvPicPr>
        <xdr:cNvPr id="13" name="Picture 12" descr="Minimal spiritual technology icon - Alchemy">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flipH="1">
          <a:off x="11058524" y="9526"/>
          <a:ext cx="942976" cy="942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221326</xdr:colOff>
      <xdr:row>5</xdr:row>
      <xdr:rowOff>180975</xdr:rowOff>
    </xdr:from>
    <xdr:to>
      <xdr:col>3</xdr:col>
      <xdr:colOff>790575</xdr:colOff>
      <xdr:row>5</xdr:row>
      <xdr:rowOff>723900</xdr:rowOff>
    </xdr:to>
    <xdr:pic>
      <xdr:nvPicPr>
        <xdr:cNvPr id="14" name="Picture 13">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878926" y="4467225"/>
          <a:ext cx="569249"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172580</xdr:colOff>
      <xdr:row>4</xdr:row>
      <xdr:rowOff>247650</xdr:rowOff>
    </xdr:from>
    <xdr:to>
      <xdr:col>3</xdr:col>
      <xdr:colOff>805428</xdr:colOff>
      <xdr:row>4</xdr:row>
      <xdr:rowOff>552450</xdr:rowOff>
    </xdr:to>
    <xdr:pic>
      <xdr:nvPicPr>
        <xdr:cNvPr id="17" name="Picture 16" descr="None Nothing Svg Png Icon Free Download (#3975) - OnlineWebFonts.COM">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830180" y="3762375"/>
          <a:ext cx="632848"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161925</xdr:colOff>
      <xdr:row>6</xdr:row>
      <xdr:rowOff>57150</xdr:rowOff>
    </xdr:from>
    <xdr:to>
      <xdr:col>3</xdr:col>
      <xdr:colOff>800100</xdr:colOff>
      <xdr:row>7</xdr:row>
      <xdr:rowOff>57150</xdr:rowOff>
    </xdr:to>
    <xdr:pic>
      <xdr:nvPicPr>
        <xdr:cNvPr id="18" name="Picture 17">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19525" y="5324475"/>
          <a:ext cx="63817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7</xdr:row>
      <xdr:rowOff>104775</xdr:rowOff>
    </xdr:from>
    <xdr:to>
      <xdr:col>3</xdr:col>
      <xdr:colOff>809625</xdr:colOff>
      <xdr:row>8</xdr:row>
      <xdr:rowOff>19050</xdr:rowOff>
    </xdr:to>
    <xdr:pic>
      <xdr:nvPicPr>
        <xdr:cNvPr id="19" name="Picture 18">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714750" y="6134100"/>
          <a:ext cx="75247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8</xdr:row>
      <xdr:rowOff>152400</xdr:rowOff>
    </xdr:from>
    <xdr:to>
      <xdr:col>3</xdr:col>
      <xdr:colOff>857155</xdr:colOff>
      <xdr:row>8</xdr:row>
      <xdr:rowOff>809543</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2"/>
        <a:stretch>
          <a:fillRect/>
        </a:stretch>
      </xdr:blipFill>
      <xdr:spPr>
        <a:xfrm>
          <a:off x="3752850" y="6981825"/>
          <a:ext cx="761905" cy="657143"/>
        </a:xfrm>
        <a:prstGeom prst="rect">
          <a:avLst/>
        </a:prstGeom>
      </xdr:spPr>
    </xdr:pic>
    <xdr:clientData/>
  </xdr:twoCellAnchor>
  <xdr:twoCellAnchor editAs="oneCell">
    <xdr:from>
      <xdr:col>3</xdr:col>
      <xdr:colOff>104775</xdr:colOff>
      <xdr:row>9</xdr:row>
      <xdr:rowOff>0</xdr:rowOff>
    </xdr:from>
    <xdr:to>
      <xdr:col>3</xdr:col>
      <xdr:colOff>800013</xdr:colOff>
      <xdr:row>9</xdr:row>
      <xdr:rowOff>666667</xdr:rowOff>
    </xdr:to>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3"/>
        <a:stretch>
          <a:fillRect/>
        </a:stretch>
      </xdr:blipFill>
      <xdr:spPr>
        <a:xfrm>
          <a:off x="3762375" y="7677150"/>
          <a:ext cx="695238" cy="666667"/>
        </a:xfrm>
        <a:prstGeom prst="rect">
          <a:avLst/>
        </a:prstGeom>
      </xdr:spPr>
    </xdr:pic>
    <xdr:clientData/>
  </xdr:twoCellAnchor>
  <xdr:twoCellAnchor editAs="oneCell">
    <xdr:from>
      <xdr:col>3</xdr:col>
      <xdr:colOff>133350</xdr:colOff>
      <xdr:row>10</xdr:row>
      <xdr:rowOff>152400</xdr:rowOff>
    </xdr:from>
    <xdr:to>
      <xdr:col>3</xdr:col>
      <xdr:colOff>866683</xdr:colOff>
      <xdr:row>10</xdr:row>
      <xdr:rowOff>828590</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4"/>
        <a:stretch>
          <a:fillRect/>
        </a:stretch>
      </xdr:blipFill>
      <xdr:spPr>
        <a:xfrm>
          <a:off x="3790950" y="8610600"/>
          <a:ext cx="733333" cy="676190"/>
        </a:xfrm>
        <a:prstGeom prst="rect">
          <a:avLst/>
        </a:prstGeom>
      </xdr:spPr>
    </xdr:pic>
    <xdr:clientData/>
  </xdr:twoCellAnchor>
  <xdr:twoCellAnchor editAs="oneCell">
    <xdr:from>
      <xdr:col>3</xdr:col>
      <xdr:colOff>533400</xdr:colOff>
      <xdr:row>8</xdr:row>
      <xdr:rowOff>400050</xdr:rowOff>
    </xdr:from>
    <xdr:to>
      <xdr:col>3</xdr:col>
      <xdr:colOff>714375</xdr:colOff>
      <xdr:row>8</xdr:row>
      <xdr:rowOff>581025</xdr:rowOff>
    </xdr:to>
    <xdr:pic>
      <xdr:nvPicPr>
        <xdr:cNvPr id="25" name="Picture 24" descr="Red Asterisk - Home | Facebook">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191000" y="7334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504825</xdr:colOff>
      <xdr:row>9</xdr:row>
      <xdr:rowOff>304800</xdr:rowOff>
    </xdr:from>
    <xdr:to>
      <xdr:col>3</xdr:col>
      <xdr:colOff>685800</xdr:colOff>
      <xdr:row>9</xdr:row>
      <xdr:rowOff>485775</xdr:rowOff>
    </xdr:to>
    <xdr:pic>
      <xdr:nvPicPr>
        <xdr:cNvPr id="26" name="Picture 25" descr="Red Asterisk - Home | Facebook">
          <a:extLst>
            <a:ext uri="{FF2B5EF4-FFF2-40B4-BE49-F238E27FC236}">
              <a16:creationId xmlns:a16="http://schemas.microsoft.com/office/drawing/2014/main" id="{00000000-0008-0000-0500-00001A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162425" y="808672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323850</xdr:colOff>
      <xdr:row>10</xdr:row>
      <xdr:rowOff>304800</xdr:rowOff>
    </xdr:from>
    <xdr:to>
      <xdr:col>3</xdr:col>
      <xdr:colOff>504825</xdr:colOff>
      <xdr:row>10</xdr:row>
      <xdr:rowOff>485775</xdr:rowOff>
    </xdr:to>
    <xdr:pic>
      <xdr:nvPicPr>
        <xdr:cNvPr id="27" name="Picture 26" descr="Red Asterisk - Home | Facebook">
          <a:extLst>
            <a:ext uri="{FF2B5EF4-FFF2-40B4-BE49-F238E27FC236}">
              <a16:creationId xmlns:a16="http://schemas.microsoft.com/office/drawing/2014/main" id="{00000000-0008-0000-0500-00001B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981450" y="876300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123825</xdr:colOff>
      <xdr:row>0</xdr:row>
      <xdr:rowOff>64065</xdr:rowOff>
    </xdr:from>
    <xdr:to>
      <xdr:col>9</xdr:col>
      <xdr:colOff>1028079</xdr:colOff>
      <xdr:row>0</xdr:row>
      <xdr:rowOff>980445</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8"/>
        <a:stretch>
          <a:fillRect/>
        </a:stretch>
      </xdr:blipFill>
      <xdr:spPr>
        <a:xfrm>
          <a:off x="8734425" y="64065"/>
          <a:ext cx="904254" cy="9163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1023E9E0-CBC2-42A1-8A77-76DBA4061476}" autoFormatId="16" applyNumberFormats="0" applyBorderFormats="0" applyFontFormats="0" applyPatternFormats="0" applyAlignmentFormats="0" applyWidthHeightFormats="0">
  <queryTableRefresh nextId="2">
    <queryTableFields count="1">
      <queryTableField id="1" name="Column1" tableColumnId="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A7618D-313D-4202-942E-637A4695FB56}" name="version" displayName="version" ref="A1:A2" tableType="queryTable" totalsRowShown="0">
  <autoFilter ref="A1:A2" xr:uid="{A9A0D332-7365-4579-9CE4-D41ACF05A147}"/>
  <tableColumns count="1">
    <tableColumn id="1" xr3:uid="{1D5F3478-7E5D-48A1-81A2-FD5BFF86BA7D}" uniqueName="1" name="Column1" queryTableFieldId="1" dataDxfId="53"/>
  </tableColumns>
  <tableStyleInfo name="TableStyleMedium7" showFirstColumn="0" showLastColumn="0" showRowStripes="1" showColumnStripes="0"/>
</table>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5E9B8-8F3E-4F72-A063-14DD91062262}">
  <sheetPr codeName="Sheet10"/>
  <dimension ref="B1:M42"/>
  <sheetViews>
    <sheetView showGridLines="0" workbookViewId="0">
      <selection activeCell="F13" sqref="F13"/>
    </sheetView>
  </sheetViews>
  <sheetFormatPr defaultRowHeight="15" x14ac:dyDescent="0.25"/>
  <cols>
    <col min="1" max="1" width="1.28515625" customWidth="1"/>
    <col min="4" max="4" width="52.5703125" customWidth="1"/>
    <col min="7" max="7" width="11" customWidth="1"/>
    <col min="8" max="8" width="12.5703125" customWidth="1"/>
    <col min="10" max="10" width="39.85546875" customWidth="1"/>
    <col min="13" max="13" width="32.28515625" customWidth="1"/>
  </cols>
  <sheetData>
    <row r="1" spans="2:13" ht="5.25" customHeight="1" thickBot="1" x14ac:dyDescent="0.3"/>
    <row r="2" spans="2:13" x14ac:dyDescent="0.25">
      <c r="B2" s="6"/>
      <c r="C2" s="7"/>
      <c r="D2" s="7"/>
      <c r="E2" s="8"/>
    </row>
    <row r="3" spans="2:13" ht="15" customHeight="1" x14ac:dyDescent="0.25">
      <c r="B3" s="9"/>
      <c r="C3" s="10">
        <v>5</v>
      </c>
      <c r="D3" s="159" t="s">
        <v>0</v>
      </c>
      <c r="E3" s="11"/>
    </row>
    <row r="4" spans="2:13" ht="29.25" customHeight="1" x14ac:dyDescent="0.25">
      <c r="B4" s="9"/>
      <c r="D4" s="159"/>
      <c r="E4" s="11"/>
    </row>
    <row r="5" spans="2:13" x14ac:dyDescent="0.25">
      <c r="B5" s="9"/>
      <c r="C5" s="12"/>
      <c r="D5" s="159" t="s">
        <v>1</v>
      </c>
      <c r="E5" s="11"/>
    </row>
    <row r="6" spans="2:13" x14ac:dyDescent="0.25">
      <c r="B6" s="9"/>
      <c r="D6" s="159"/>
      <c r="E6" s="11"/>
    </row>
    <row r="7" spans="2:13" ht="15" customHeight="1" x14ac:dyDescent="0.25">
      <c r="B7" s="9"/>
      <c r="D7" s="13"/>
      <c r="E7" s="11"/>
      <c r="G7" s="161" t="s">
        <v>2</v>
      </c>
      <c r="H7" s="161"/>
    </row>
    <row r="8" spans="2:13" x14ac:dyDescent="0.25">
      <c r="B8" s="9"/>
      <c r="C8" s="14"/>
      <c r="D8" s="159" t="s">
        <v>3</v>
      </c>
      <c r="E8" s="11"/>
      <c r="G8" s="161"/>
      <c r="H8" s="161"/>
    </row>
    <row r="9" spans="2:13" x14ac:dyDescent="0.25">
      <c r="B9" s="9"/>
      <c r="D9" s="159"/>
      <c r="E9" s="11"/>
    </row>
    <row r="10" spans="2:13" x14ac:dyDescent="0.25">
      <c r="B10" s="9"/>
      <c r="D10" s="13"/>
      <c r="E10" s="11"/>
    </row>
    <row r="11" spans="2:13" x14ac:dyDescent="0.25">
      <c r="B11" s="9"/>
      <c r="C11" s="15">
        <v>89.5</v>
      </c>
      <c r="D11" s="159" t="s">
        <v>4</v>
      </c>
      <c r="E11" s="11"/>
    </row>
    <row r="12" spans="2:13" x14ac:dyDescent="0.25">
      <c r="B12" s="9"/>
      <c r="D12" s="159"/>
      <c r="E12" s="11"/>
      <c r="M12" s="5"/>
    </row>
    <row r="13" spans="2:13" x14ac:dyDescent="0.25">
      <c r="B13" s="9"/>
      <c r="D13" s="13"/>
      <c r="E13" s="11"/>
      <c r="M13" s="5"/>
    </row>
    <row r="14" spans="2:13" x14ac:dyDescent="0.25">
      <c r="B14" s="9"/>
      <c r="C14" s="16">
        <v>30</v>
      </c>
      <c r="D14" s="159" t="s">
        <v>5</v>
      </c>
      <c r="E14" s="11"/>
    </row>
    <row r="15" spans="2:13" ht="29.25" customHeight="1" x14ac:dyDescent="0.25">
      <c r="B15" s="9"/>
      <c r="D15" s="159"/>
      <c r="E15" s="11"/>
    </row>
    <row r="16" spans="2:13" ht="14.25" customHeight="1" x14ac:dyDescent="0.25">
      <c r="B16" s="9"/>
      <c r="C16" s="36"/>
      <c r="D16" s="13"/>
      <c r="E16" s="11"/>
    </row>
    <row r="17" spans="2:5" ht="16.5" customHeight="1" x14ac:dyDescent="0.25">
      <c r="B17" s="9"/>
      <c r="D17" s="13"/>
      <c r="E17" s="11"/>
    </row>
    <row r="18" spans="2:5" x14ac:dyDescent="0.25">
      <c r="B18" s="9"/>
      <c r="E18" s="11"/>
    </row>
    <row r="19" spans="2:5" x14ac:dyDescent="0.25">
      <c r="B19" s="9"/>
      <c r="C19" s="1"/>
      <c r="D19" s="158" t="s">
        <v>6</v>
      </c>
      <c r="E19" s="11"/>
    </row>
    <row r="20" spans="2:5" x14ac:dyDescent="0.25">
      <c r="B20" s="9"/>
      <c r="D20" s="158"/>
      <c r="E20" s="11"/>
    </row>
    <row r="21" spans="2:5" x14ac:dyDescent="0.25">
      <c r="B21" s="9"/>
      <c r="E21" s="11"/>
    </row>
    <row r="22" spans="2:5" x14ac:dyDescent="0.25">
      <c r="B22" s="9"/>
      <c r="C22" s="17">
        <v>15</v>
      </c>
      <c r="D22" t="s">
        <v>7</v>
      </c>
      <c r="E22" s="11"/>
    </row>
    <row r="23" spans="2:5" x14ac:dyDescent="0.25">
      <c r="B23" s="9"/>
      <c r="E23" s="11"/>
    </row>
    <row r="24" spans="2:5" x14ac:dyDescent="0.25">
      <c r="B24" s="9"/>
      <c r="C24" s="18"/>
      <c r="D24" s="159" t="s">
        <v>8</v>
      </c>
      <c r="E24" s="11"/>
    </row>
    <row r="25" spans="2:5" ht="15.75" thickBot="1" x14ac:dyDescent="0.3">
      <c r="B25" s="19"/>
      <c r="C25" s="20"/>
      <c r="D25" s="160"/>
      <c r="E25" s="21"/>
    </row>
    <row r="27" spans="2:5" x14ac:dyDescent="0.25">
      <c r="B27" s="3" t="s">
        <v>9</v>
      </c>
    </row>
    <row r="28" spans="2:5" x14ac:dyDescent="0.25">
      <c r="B28" s="3"/>
    </row>
    <row r="42" spans="2:2" x14ac:dyDescent="0.25">
      <c r="B42" t="s">
        <v>10</v>
      </c>
    </row>
  </sheetData>
  <sheetProtection sheet="1" objects="1" scenarios="1" selectLockedCells="1" selectUnlockedCells="1"/>
  <mergeCells count="8">
    <mergeCell ref="D19:D20"/>
    <mergeCell ref="D24:D25"/>
    <mergeCell ref="G7:H8"/>
    <mergeCell ref="D3:D4"/>
    <mergeCell ref="D5:D6"/>
    <mergeCell ref="D8:D9"/>
    <mergeCell ref="D11:D12"/>
    <mergeCell ref="D14:D15"/>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E71C4-A882-4442-8818-3F1EDCC89CAA}">
  <sheetPr codeName="Sheet6"/>
  <dimension ref="A1:J10"/>
  <sheetViews>
    <sheetView workbookViewId="0">
      <selection activeCell="A10" sqref="A10:J10"/>
    </sheetView>
  </sheetViews>
  <sheetFormatPr defaultRowHeight="15" x14ac:dyDescent="0.25"/>
  <sheetData>
    <row r="1" spans="1:10" x14ac:dyDescent="0.25">
      <c r="A1" t="str">
        <f>IF(duomenys!$F12&lt;&gt;"",IF(duomenys!F12="Taip",duomenys!$A12,),"")</f>
        <v/>
      </c>
      <c r="B1" t="str">
        <f>IF(duomenys!$F12&lt;&gt;"",IF(duomenys!G12="Taip",duomenys!$A12,),"")</f>
        <v/>
      </c>
      <c r="C1" t="str">
        <f>IF(duomenys!$F12&lt;&gt;"",IF(duomenys!H12="Taip",duomenys!$A12,),"")</f>
        <v/>
      </c>
      <c r="D1" t="str">
        <f>IF(duomenys!$F12&lt;&gt;"",IF(duomenys!I12="Taip",duomenys!$A12,),"")</f>
        <v/>
      </c>
      <c r="E1" t="str">
        <f>IF(duomenys!$F12&lt;&gt;"",IF(duomenys!J12="Taip",duomenys!$A12,),"")</f>
        <v/>
      </c>
      <c r="F1" t="str">
        <f>IF(duomenys!$F12&lt;&gt;"",IF(duomenys!K12="Taip",duomenys!$A12,),"")</f>
        <v/>
      </c>
      <c r="G1" t="str">
        <f>IF(duomenys!$F12&lt;&gt;"",IF(duomenys!L12="Taip",duomenys!$A12,),"")</f>
        <v/>
      </c>
      <c r="H1" t="str">
        <f>IF(duomenys!$F12&lt;&gt;"",IF(duomenys!M12="Taip",duomenys!$A12,),"")</f>
        <v/>
      </c>
      <c r="I1" t="str">
        <f>IF(duomenys!$F12&lt;&gt;"",IF(duomenys!N12="Taip",duomenys!$A12,),"")</f>
        <v/>
      </c>
      <c r="J1" t="str">
        <f>IF(duomenys!$F12&lt;&gt;"",IF(duomenys!O12="Taip",duomenys!$A12,),"")</f>
        <v/>
      </c>
    </row>
    <row r="2" spans="1:10" x14ac:dyDescent="0.25">
      <c r="A2" t="str">
        <f>IF(duomenys!$F14&lt;&gt;"",IF(duomenys!F14="Taip",duomenys!$A14,),"")</f>
        <v/>
      </c>
      <c r="B2" t="str">
        <f>IF(duomenys!$F14&lt;&gt;"",IF(duomenys!G14="Taip",duomenys!$A14,),"")</f>
        <v/>
      </c>
      <c r="C2" t="str">
        <f>IF(duomenys!$F14&lt;&gt;"",IF(duomenys!H14="Taip",duomenys!$A14,),"")</f>
        <v/>
      </c>
      <c r="D2" t="str">
        <f>IF(duomenys!$F14&lt;&gt;"",IF(duomenys!I14="Taip",duomenys!$A14,),"")</f>
        <v/>
      </c>
      <c r="E2" t="str">
        <f>IF(duomenys!$F14&lt;&gt;"",IF(duomenys!J14="Taip",duomenys!$A14,),"")</f>
        <v/>
      </c>
      <c r="F2" t="str">
        <f>IF(duomenys!$F14&lt;&gt;"",IF(duomenys!K14="Taip",duomenys!$A14,),"")</f>
        <v/>
      </c>
      <c r="G2" t="str">
        <f>IF(duomenys!$F14&lt;&gt;"",IF(duomenys!L14="Taip",duomenys!$A14,),"")</f>
        <v/>
      </c>
      <c r="H2" t="str">
        <f>IF(duomenys!$F14&lt;&gt;"",IF(duomenys!M14="Taip",duomenys!$A14,),"")</f>
        <v/>
      </c>
      <c r="I2" t="str">
        <f>IF(duomenys!$F14&lt;&gt;"",IF(duomenys!N14="Taip",duomenys!$A14,),"")</f>
        <v/>
      </c>
      <c r="J2" t="str">
        <f>IF(duomenys!$F14&lt;&gt;"",IF(duomenys!O14="Taip",duomenys!$A14,),"")</f>
        <v/>
      </c>
    </row>
    <row r="3" spans="1:10" x14ac:dyDescent="0.25">
      <c r="A3" t="str">
        <f>IF(duomenys!$F16&lt;&gt;"",IF(duomenys!F16="Taip",duomenys!$A16,),"")</f>
        <v/>
      </c>
      <c r="B3" t="str">
        <f>IF(duomenys!$F16&lt;&gt;"",IF(duomenys!G16="Taip",duomenys!$A16,),"")</f>
        <v/>
      </c>
      <c r="C3" t="str">
        <f>IF(duomenys!$F16&lt;&gt;"",IF(duomenys!H16="Taip",duomenys!$A16,),"")</f>
        <v/>
      </c>
      <c r="D3" t="str">
        <f>IF(duomenys!$F16&lt;&gt;"",IF(duomenys!I16="Taip",duomenys!$A16,),"")</f>
        <v/>
      </c>
      <c r="E3" t="str">
        <f>IF(duomenys!$F16&lt;&gt;"",IF(duomenys!J16="Taip",duomenys!$A16,),"")</f>
        <v/>
      </c>
      <c r="F3" t="str">
        <f>IF(duomenys!$F16&lt;&gt;"",IF(duomenys!K16="Taip",duomenys!$A16,),"")</f>
        <v/>
      </c>
      <c r="G3" t="str">
        <f>IF(duomenys!$F16&lt;&gt;"",IF(duomenys!L16="Taip",duomenys!$A16,),"")</f>
        <v/>
      </c>
      <c r="H3" t="str">
        <f>IF(duomenys!$F16&lt;&gt;"",IF(duomenys!M16="Taip",duomenys!$A16,),"")</f>
        <v/>
      </c>
      <c r="I3" t="str">
        <f>IF(duomenys!$F16&lt;&gt;"",IF(duomenys!N16="Taip",duomenys!$A16,),"")</f>
        <v/>
      </c>
      <c r="J3" t="str">
        <f>IF(duomenys!$F16&lt;&gt;"",IF(duomenys!O16="Taip",duomenys!$A16,),"")</f>
        <v/>
      </c>
    </row>
    <row r="4" spans="1:10" x14ac:dyDescent="0.25">
      <c r="A4" t="str">
        <f>IF(duomenys!$F18&lt;&gt;"",IF(duomenys!F18="Taip",duomenys!$A18,),"")</f>
        <v/>
      </c>
      <c r="B4" t="str">
        <f>IF(duomenys!$F18&lt;&gt;"",IF(duomenys!G18="Taip",duomenys!$A18,),"")</f>
        <v/>
      </c>
      <c r="C4" t="str">
        <f>IF(duomenys!$F18&lt;&gt;"",IF(duomenys!H18="Taip",duomenys!$A18,),"")</f>
        <v/>
      </c>
      <c r="D4" t="str">
        <f>IF(duomenys!$F18&lt;&gt;"",IF(duomenys!I18="Taip",duomenys!$A18,),"")</f>
        <v/>
      </c>
      <c r="E4" t="str">
        <f>IF(duomenys!$F18&lt;&gt;"",IF(duomenys!J18="Taip",duomenys!$A18,),"")</f>
        <v/>
      </c>
      <c r="F4" t="str">
        <f>IF(duomenys!$F18&lt;&gt;"",IF(duomenys!K18="Taip",duomenys!$A18,),"")</f>
        <v/>
      </c>
      <c r="G4" t="str">
        <f>IF(duomenys!$F18&lt;&gt;"",IF(duomenys!L18="Taip",duomenys!$A18,),"")</f>
        <v/>
      </c>
      <c r="H4" t="str">
        <f>IF(duomenys!$F18&lt;&gt;"",IF(duomenys!M18="Taip",duomenys!$A18,),"")</f>
        <v/>
      </c>
      <c r="I4" t="str">
        <f>IF(duomenys!$F18&lt;&gt;"",IF(duomenys!N18="Taip",duomenys!$A18,),"")</f>
        <v/>
      </c>
      <c r="J4" t="str">
        <f>IF(duomenys!$F18&lt;&gt;"",IF(duomenys!O18="Taip",duomenys!$A18,),"")</f>
        <v/>
      </c>
    </row>
    <row r="5" spans="1:10" x14ac:dyDescent="0.25">
      <c r="A5" t="str">
        <f>IF(duomenys!$F20&lt;&gt;"",IF(duomenys!F20="Taip",duomenys!$A20,),"")</f>
        <v/>
      </c>
      <c r="B5" t="str">
        <f>IF(duomenys!$F20&lt;&gt;"",IF(duomenys!G20="Taip",duomenys!$A20,),"")</f>
        <v/>
      </c>
      <c r="C5" t="str">
        <f>IF(duomenys!$F20&lt;&gt;"",IF(duomenys!H20="Taip",duomenys!$A20,),"")</f>
        <v/>
      </c>
      <c r="D5" t="str">
        <f>IF(duomenys!$F20&lt;&gt;"",IF(duomenys!I20="Taip",duomenys!$A20,),"")</f>
        <v/>
      </c>
      <c r="E5" t="str">
        <f>IF(duomenys!$F20&lt;&gt;"",IF(duomenys!J20="Taip",duomenys!$A20,),"")</f>
        <v/>
      </c>
      <c r="F5" t="str">
        <f>IF(duomenys!$F20&lt;&gt;"",IF(duomenys!K20="Taip",duomenys!$A20,),"")</f>
        <v/>
      </c>
      <c r="G5" t="str">
        <f>IF(duomenys!$F20&lt;&gt;"",IF(duomenys!L20="Taip",duomenys!$A20,),"")</f>
        <v/>
      </c>
      <c r="H5" t="str">
        <f>IF(duomenys!$F20&lt;&gt;"",IF(duomenys!M20="Taip",duomenys!$A20,),"")</f>
        <v/>
      </c>
      <c r="I5" t="str">
        <f>IF(duomenys!$F20&lt;&gt;"",IF(duomenys!N20="Taip",duomenys!$A20,),"")</f>
        <v/>
      </c>
      <c r="J5" t="str">
        <f>IF(duomenys!$F20&lt;&gt;"",IF(duomenys!O20="Taip",duomenys!$A20,),"")</f>
        <v/>
      </c>
    </row>
    <row r="6" spans="1:10" x14ac:dyDescent="0.25">
      <c r="A6" t="str">
        <f>IF(duomenys!$F22&lt;&gt;"",IF(duomenys!F22="Taip",duomenys!$A22,),"")</f>
        <v/>
      </c>
      <c r="B6" t="str">
        <f>IF(duomenys!$F22&lt;&gt;"",IF(duomenys!G22="Taip",duomenys!$A22,),"")</f>
        <v/>
      </c>
      <c r="C6" t="str">
        <f>IF(duomenys!$F22&lt;&gt;"",IF(duomenys!H22="Taip",duomenys!$A22,),"")</f>
        <v/>
      </c>
      <c r="D6" t="str">
        <f>IF(duomenys!$F22&lt;&gt;"",IF(duomenys!I22="Taip",duomenys!$A22,),"")</f>
        <v/>
      </c>
      <c r="E6" t="str">
        <f>IF(duomenys!$F22&lt;&gt;"",IF(duomenys!J22="Taip",duomenys!$A22,),"")</f>
        <v/>
      </c>
      <c r="F6" t="str">
        <f>IF(duomenys!$F22&lt;&gt;"",IF(duomenys!K22="Taip",duomenys!$A22,),"")</f>
        <v/>
      </c>
      <c r="G6" t="str">
        <f>IF(duomenys!$F22&lt;&gt;"",IF(duomenys!L22="Taip",duomenys!$A22,),"")</f>
        <v/>
      </c>
      <c r="H6" t="str">
        <f>IF(duomenys!$F22&lt;&gt;"",IF(duomenys!M22="Taip",duomenys!$A22,),"")</f>
        <v/>
      </c>
      <c r="I6" t="str">
        <f>IF(duomenys!$F22&lt;&gt;"",IF(duomenys!N22="Taip",duomenys!$A22,),"")</f>
        <v/>
      </c>
      <c r="J6" t="str">
        <f>IF(duomenys!$F22&lt;&gt;"",IF(duomenys!O22="Taip",duomenys!$A22,),"")</f>
        <v/>
      </c>
    </row>
    <row r="7" spans="1:10" x14ac:dyDescent="0.25">
      <c r="A7" t="str">
        <f>IF(duomenys!$F24&lt;&gt;"",IF(duomenys!F24="Taip",duomenys!$A24,),"")</f>
        <v/>
      </c>
      <c r="B7" t="str">
        <f>IF(duomenys!$F24&lt;&gt;"",IF(duomenys!G24="Taip",duomenys!$A24,),"")</f>
        <v/>
      </c>
      <c r="C7" t="str">
        <f>IF(duomenys!$F24&lt;&gt;"",IF(duomenys!H24="Taip",duomenys!$A24,),"")</f>
        <v/>
      </c>
      <c r="D7" t="str">
        <f>IF(duomenys!$F24&lt;&gt;"",IF(duomenys!I24="Taip",duomenys!$A24,),"")</f>
        <v/>
      </c>
      <c r="E7" t="str">
        <f>IF(duomenys!$F24&lt;&gt;"",IF(duomenys!J24="Taip",duomenys!$A24,),"")</f>
        <v/>
      </c>
      <c r="F7" t="str">
        <f>IF(duomenys!$F24&lt;&gt;"",IF(duomenys!K24="Taip",duomenys!$A24,),"")</f>
        <v/>
      </c>
      <c r="G7" t="str">
        <f>IF(duomenys!$F24&lt;&gt;"",IF(duomenys!L24="Taip",duomenys!$A24,),"")</f>
        <v/>
      </c>
      <c r="H7" t="str">
        <f>IF(duomenys!$F24&lt;&gt;"",IF(duomenys!M24="Taip",duomenys!$A24,),"")</f>
        <v/>
      </c>
      <c r="I7" t="str">
        <f>IF(duomenys!$F24&lt;&gt;"",IF(duomenys!N24="Taip",duomenys!$A24,),"")</f>
        <v/>
      </c>
      <c r="J7" t="str">
        <f>IF(duomenys!$F24&lt;&gt;"",IF(duomenys!O24="Taip",duomenys!$A24,),"")</f>
        <v/>
      </c>
    </row>
    <row r="8" spans="1:10" x14ac:dyDescent="0.25">
      <c r="A8" t="str">
        <f>IF(duomenys!$F26&lt;&gt;"",IF(duomenys!F26="Taip",duomenys!$A26,),"")</f>
        <v/>
      </c>
      <c r="B8" t="str">
        <f>IF(duomenys!$F26&lt;&gt;"",IF(duomenys!G26="Taip",duomenys!$A26,),"")</f>
        <v/>
      </c>
      <c r="C8" t="str">
        <f>IF(duomenys!$F26&lt;&gt;"",IF(duomenys!H26="Taip",duomenys!$A26,),"")</f>
        <v/>
      </c>
      <c r="D8" t="str">
        <f>IF(duomenys!$F26&lt;&gt;"",IF(duomenys!I26="Taip",duomenys!$A26,),"")</f>
        <v/>
      </c>
      <c r="E8" t="str">
        <f>IF(duomenys!$F26&lt;&gt;"",IF(duomenys!J26="Taip",duomenys!$A26,),"")</f>
        <v/>
      </c>
      <c r="F8" t="str">
        <f>IF(duomenys!$F26&lt;&gt;"",IF(duomenys!K26="Taip",duomenys!$A26,),"")</f>
        <v/>
      </c>
      <c r="G8" t="str">
        <f>IF(duomenys!$F26&lt;&gt;"",IF(duomenys!L26="Taip",duomenys!$A26,),"")</f>
        <v/>
      </c>
      <c r="H8" t="str">
        <f>IF(duomenys!$F26&lt;&gt;"",IF(duomenys!M26="Taip",duomenys!$A26,),"")</f>
        <v/>
      </c>
      <c r="I8" t="str">
        <f>IF(duomenys!$F26&lt;&gt;"",IF(duomenys!N26="Taip",duomenys!$A26,),"")</f>
        <v/>
      </c>
      <c r="J8" t="str">
        <f>IF(duomenys!$F26&lt;&gt;"",IF(duomenys!O26="Taip",duomenys!$A26,),"")</f>
        <v/>
      </c>
    </row>
    <row r="9" spans="1:10" x14ac:dyDescent="0.25">
      <c r="A9" t="str">
        <f>IF(duomenys!$F28&lt;&gt;"",IF(duomenys!F28="Taip",duomenys!$A28,),"")</f>
        <v/>
      </c>
      <c r="B9" t="str">
        <f>IF(duomenys!$F28&lt;&gt;"",IF(duomenys!G28="Taip",duomenys!$A28,),"")</f>
        <v/>
      </c>
      <c r="C9" t="str">
        <f>IF(duomenys!$F28&lt;&gt;"",IF(duomenys!H28="Taip",duomenys!$A28,),"")</f>
        <v/>
      </c>
      <c r="D9" t="str">
        <f>IF(duomenys!$F28&lt;&gt;"",IF(duomenys!I28="Taip",duomenys!$A28,),"")</f>
        <v/>
      </c>
      <c r="E9" t="str">
        <f>IF(duomenys!$F28&lt;&gt;"",IF(duomenys!J28="Taip",duomenys!$A28,),"")</f>
        <v/>
      </c>
      <c r="F9" t="str">
        <f>IF(duomenys!$F28&lt;&gt;"",IF(duomenys!K28="Taip",duomenys!$A28,),"")</f>
        <v/>
      </c>
      <c r="G9" t="str">
        <f>IF(duomenys!$F28&lt;&gt;"",IF(duomenys!L28="Taip",duomenys!$A28,),"")</f>
        <v/>
      </c>
      <c r="H9" t="str">
        <f>IF(duomenys!$F28&lt;&gt;"",IF(duomenys!M28="Taip",duomenys!$A28,),"")</f>
        <v/>
      </c>
      <c r="I9" t="str">
        <f>IF(duomenys!$F28&lt;&gt;"",IF(duomenys!N28="Taip",duomenys!$A28,),"")</f>
        <v/>
      </c>
      <c r="J9" t="str">
        <f>IF(duomenys!$F28&lt;&gt;"",IF(duomenys!O28="Taip",duomenys!$A28,),"")</f>
        <v/>
      </c>
    </row>
    <row r="10" spans="1:10" x14ac:dyDescent="0.25">
      <c r="A10" t="str">
        <f>IF(duomenys!$F30&lt;&gt;"",IF(duomenys!F30="Taip",duomenys!$A30,),"")</f>
        <v/>
      </c>
      <c r="B10" t="str">
        <f>IF(duomenys!$F30&lt;&gt;"",IF(duomenys!G30="Taip",duomenys!$A30,),"")</f>
        <v/>
      </c>
      <c r="C10" t="str">
        <f>IF(duomenys!$F30&lt;&gt;"",IF(duomenys!H30="Taip",duomenys!$A30,),"")</f>
        <v/>
      </c>
      <c r="D10" t="str">
        <f>IF(duomenys!$F30&lt;&gt;"",IF(duomenys!I30="Taip",duomenys!$A30,),"")</f>
        <v/>
      </c>
      <c r="E10" t="str">
        <f>IF(duomenys!$F30&lt;&gt;"",IF(duomenys!J30="Taip",duomenys!$A30,),"")</f>
        <v/>
      </c>
      <c r="F10" t="str">
        <f>IF(duomenys!$F30&lt;&gt;"",IF(duomenys!K30="Taip",duomenys!$A30,),"")</f>
        <v/>
      </c>
      <c r="G10" t="str">
        <f>IF(duomenys!$F30&lt;&gt;"",IF(duomenys!L30="Taip",duomenys!$A30,),"")</f>
        <v/>
      </c>
      <c r="H10" t="str">
        <f>IF(duomenys!$F30&lt;&gt;"",IF(duomenys!M30="Taip",duomenys!$A30,),"")</f>
        <v/>
      </c>
      <c r="I10" t="str">
        <f>IF(duomenys!$F30&lt;&gt;"",IF(duomenys!N30="Taip",duomenys!$A30,),"")</f>
        <v/>
      </c>
      <c r="J10" t="str">
        <f>IF(duomenys!$F30&lt;&gt;"",IF(duomenys!O30="Taip",duomenys!$A30,),"")</f>
        <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DC2DE-E3E6-45AE-A735-3608DE3C79DC}">
  <sheetPr codeName="Sheet7"/>
  <dimension ref="A1:J10"/>
  <sheetViews>
    <sheetView workbookViewId="0"/>
  </sheetViews>
  <sheetFormatPr defaultRowHeight="15" x14ac:dyDescent="0.25"/>
  <sheetData>
    <row r="1" spans="1:10" x14ac:dyDescent="0.25">
      <c r="A1" s="1" t="str">
        <f>IF(duomenys!$F12&lt;&gt;"",duomenys!F12,"")</f>
        <v/>
      </c>
      <c r="B1" s="1" t="str">
        <f>IF(duomenys!$F12&lt;&gt;"",duomenys!G12,"")</f>
        <v/>
      </c>
      <c r="C1" s="1" t="str">
        <f>IF(duomenys!$F12&lt;&gt;"",duomenys!H12,"")</f>
        <v/>
      </c>
      <c r="D1" s="1" t="str">
        <f>IF(duomenys!$F12&lt;&gt;"",duomenys!I12,"")</f>
        <v/>
      </c>
      <c r="E1" s="1" t="str">
        <f>IF(duomenys!$F12&lt;&gt;"",duomenys!J12,"")</f>
        <v/>
      </c>
      <c r="F1" s="1" t="str">
        <f>IF(duomenys!$F12&lt;&gt;"",duomenys!K12,"")</f>
        <v/>
      </c>
      <c r="G1" s="1" t="str">
        <f>IF(duomenys!$F12&lt;&gt;"",duomenys!L12,"")</f>
        <v/>
      </c>
      <c r="H1" s="1" t="str">
        <f>IF(duomenys!$F12&lt;&gt;"",duomenys!M12,"")</f>
        <v/>
      </c>
      <c r="I1" s="1" t="str">
        <f>IF(duomenys!$F12&lt;&gt;"",duomenys!N12,"")</f>
        <v/>
      </c>
      <c r="J1" s="1" t="str">
        <f>IF(duomenys!$F12&lt;&gt;"",duomenys!O12,"")</f>
        <v/>
      </c>
    </row>
    <row r="2" spans="1:10" x14ac:dyDescent="0.25">
      <c r="A2" s="1" t="str">
        <f>IF(duomenys!$F14&lt;&gt;"",duomenys!F14,"")</f>
        <v/>
      </c>
      <c r="B2" s="1" t="str">
        <f>IF(duomenys!$F14&lt;&gt;"",duomenys!G14,"")</f>
        <v/>
      </c>
      <c r="C2" s="1" t="str">
        <f>IF(duomenys!$F14&lt;&gt;"",duomenys!H14,"")</f>
        <v/>
      </c>
      <c r="D2" s="1" t="str">
        <f>IF(duomenys!$F14&lt;&gt;"",duomenys!I14,"")</f>
        <v/>
      </c>
      <c r="E2" s="1" t="str">
        <f>IF(duomenys!$F14&lt;&gt;"",duomenys!J14,"")</f>
        <v/>
      </c>
      <c r="F2" s="1" t="str">
        <f>IF(duomenys!$F14&lt;&gt;"",duomenys!K14,"")</f>
        <v/>
      </c>
      <c r="G2" s="1" t="str">
        <f>IF(duomenys!$F14&lt;&gt;"",duomenys!L14,"")</f>
        <v/>
      </c>
      <c r="H2" s="1" t="str">
        <f>IF(duomenys!$F14&lt;&gt;"",duomenys!M14,"")</f>
        <v/>
      </c>
      <c r="I2" s="1" t="str">
        <f>IF(duomenys!$F14&lt;&gt;"",duomenys!N14,"")</f>
        <v/>
      </c>
      <c r="J2" s="1" t="str">
        <f>IF(duomenys!$F14&lt;&gt;"",duomenys!O14,"")</f>
        <v/>
      </c>
    </row>
    <row r="3" spans="1:10" x14ac:dyDescent="0.25">
      <c r="A3" s="1" t="str">
        <f>IF(duomenys!$F16&lt;&gt;"",duomenys!F16,"")</f>
        <v/>
      </c>
      <c r="B3" s="1" t="str">
        <f>IF(duomenys!$F16&lt;&gt;"",duomenys!G16,"")</f>
        <v/>
      </c>
      <c r="C3" s="1" t="str">
        <f>IF(duomenys!$F16&lt;&gt;"",duomenys!H16,"")</f>
        <v/>
      </c>
      <c r="D3" s="1" t="str">
        <f>IF(duomenys!$F16&lt;&gt;"",duomenys!I16,"")</f>
        <v/>
      </c>
      <c r="E3" s="1" t="str">
        <f>IF(duomenys!$F16&lt;&gt;"",duomenys!J16,"")</f>
        <v/>
      </c>
      <c r="F3" s="1" t="str">
        <f>IF(duomenys!$F16&lt;&gt;"",duomenys!K16,"")</f>
        <v/>
      </c>
      <c r="G3" s="1" t="str">
        <f>IF(duomenys!$F16&lt;&gt;"",duomenys!L16,"")</f>
        <v/>
      </c>
      <c r="H3" s="1" t="str">
        <f>IF(duomenys!$F16&lt;&gt;"",duomenys!M16,"")</f>
        <v/>
      </c>
      <c r="I3" s="1" t="str">
        <f>IF(duomenys!$F16&lt;&gt;"",duomenys!N16,"")</f>
        <v/>
      </c>
      <c r="J3" s="1" t="str">
        <f>IF(duomenys!$F16&lt;&gt;"",duomenys!O16,"")</f>
        <v/>
      </c>
    </row>
    <row r="4" spans="1:10" x14ac:dyDescent="0.25">
      <c r="A4" s="1" t="str">
        <f>IF(duomenys!$F18&lt;&gt;"",duomenys!F18,"")</f>
        <v/>
      </c>
      <c r="B4" s="1" t="str">
        <f>IF(duomenys!$F18&lt;&gt;"",duomenys!G18,"")</f>
        <v/>
      </c>
      <c r="C4" s="1" t="str">
        <f>IF(duomenys!$F18&lt;&gt;"",duomenys!H18,"")</f>
        <v/>
      </c>
      <c r="D4" s="1" t="str">
        <f>IF(duomenys!$F18&lt;&gt;"",duomenys!I18,"")</f>
        <v/>
      </c>
      <c r="E4" s="1" t="str">
        <f>IF(duomenys!$F18&lt;&gt;"",duomenys!J18,"")</f>
        <v/>
      </c>
      <c r="F4" s="1" t="str">
        <f>IF(duomenys!$F18&lt;&gt;"",duomenys!K18,"")</f>
        <v/>
      </c>
      <c r="G4" s="1" t="str">
        <f>IF(duomenys!$F18&lt;&gt;"",duomenys!L18,"")</f>
        <v/>
      </c>
      <c r="H4" s="1" t="str">
        <f>IF(duomenys!$F18&lt;&gt;"",duomenys!M18,"")</f>
        <v/>
      </c>
      <c r="I4" s="1" t="str">
        <f>IF(duomenys!$F18&lt;&gt;"",duomenys!N18,"")</f>
        <v/>
      </c>
      <c r="J4" s="1" t="str">
        <f>IF(duomenys!$F18&lt;&gt;"",duomenys!O18,"")</f>
        <v/>
      </c>
    </row>
    <row r="5" spans="1:10" x14ac:dyDescent="0.25">
      <c r="A5" s="1" t="str">
        <f>IF(duomenys!$F20&lt;&gt;"",duomenys!F20,"")</f>
        <v/>
      </c>
      <c r="B5" s="1" t="str">
        <f>IF(duomenys!$F20&lt;&gt;"",duomenys!G20,"")</f>
        <v/>
      </c>
      <c r="C5" s="1" t="str">
        <f>IF(duomenys!$F20&lt;&gt;"",duomenys!H20,"")</f>
        <v/>
      </c>
      <c r="D5" s="1" t="str">
        <f>IF(duomenys!$F20&lt;&gt;"",duomenys!I20,"")</f>
        <v/>
      </c>
      <c r="E5" s="1" t="str">
        <f>IF(duomenys!$F20&lt;&gt;"",duomenys!J20,"")</f>
        <v/>
      </c>
      <c r="F5" s="1" t="str">
        <f>IF(duomenys!$F20&lt;&gt;"",duomenys!K20,"")</f>
        <v/>
      </c>
      <c r="G5" s="1" t="str">
        <f>IF(duomenys!$F20&lt;&gt;"",duomenys!L20,"")</f>
        <v/>
      </c>
      <c r="H5" s="1" t="str">
        <f>IF(duomenys!$F20&lt;&gt;"",duomenys!M20,"")</f>
        <v/>
      </c>
      <c r="I5" s="1" t="str">
        <f>IF(duomenys!$F20&lt;&gt;"",duomenys!N20,"")</f>
        <v/>
      </c>
      <c r="J5" s="1" t="str">
        <f>IF(duomenys!$F20&lt;&gt;"",duomenys!O20,"")</f>
        <v/>
      </c>
    </row>
    <row r="6" spans="1:10" x14ac:dyDescent="0.25">
      <c r="A6" s="1" t="str">
        <f>IF(duomenys!$F22&lt;&gt;"",duomenys!F22,"")</f>
        <v/>
      </c>
      <c r="B6" s="1" t="str">
        <f>IF(duomenys!$F22&lt;&gt;"",duomenys!G22,"")</f>
        <v/>
      </c>
      <c r="C6" s="1" t="str">
        <f>IF(duomenys!$F22&lt;&gt;"",duomenys!H22,"")</f>
        <v/>
      </c>
      <c r="D6" s="1" t="str">
        <f>IF(duomenys!$F22&lt;&gt;"",duomenys!I22,"")</f>
        <v/>
      </c>
      <c r="E6" s="1" t="str">
        <f>IF(duomenys!$F22&lt;&gt;"",duomenys!J22,"")</f>
        <v/>
      </c>
      <c r="F6" s="1" t="str">
        <f>IF(duomenys!$F22&lt;&gt;"",duomenys!K22,"")</f>
        <v/>
      </c>
      <c r="G6" s="1" t="str">
        <f>IF(duomenys!$F22&lt;&gt;"",duomenys!L22,"")</f>
        <v/>
      </c>
      <c r="H6" s="1" t="str">
        <f>IF(duomenys!$F22&lt;&gt;"",duomenys!M22,"")</f>
        <v/>
      </c>
      <c r="I6" s="1" t="str">
        <f>IF(duomenys!$F22&lt;&gt;"",duomenys!N22,"")</f>
        <v/>
      </c>
      <c r="J6" s="1" t="str">
        <f>IF(duomenys!$F22&lt;&gt;"",duomenys!O22,"")</f>
        <v/>
      </c>
    </row>
    <row r="7" spans="1:10" x14ac:dyDescent="0.25">
      <c r="A7" s="1" t="str">
        <f>IF(duomenys!$F24&lt;&gt;"",duomenys!F24,"")</f>
        <v/>
      </c>
      <c r="B7" s="1" t="str">
        <f>IF(duomenys!$F24&lt;&gt;"",duomenys!G24,"")</f>
        <v/>
      </c>
      <c r="C7" s="1" t="str">
        <f>IF(duomenys!$F24&lt;&gt;"",duomenys!H24,"")</f>
        <v/>
      </c>
      <c r="D7" s="1" t="str">
        <f>IF(duomenys!$F24&lt;&gt;"",duomenys!I24,"")</f>
        <v/>
      </c>
      <c r="E7" s="1" t="str">
        <f>IF(duomenys!$F24&lt;&gt;"",duomenys!J24,"")</f>
        <v/>
      </c>
      <c r="F7" s="1" t="str">
        <f>IF(duomenys!$F24&lt;&gt;"",duomenys!K24,"")</f>
        <v/>
      </c>
      <c r="G7" s="1" t="str">
        <f>IF(duomenys!$F24&lt;&gt;"",duomenys!L24,"")</f>
        <v/>
      </c>
      <c r="H7" s="1" t="str">
        <f>IF(duomenys!$F24&lt;&gt;"",duomenys!M24,"")</f>
        <v/>
      </c>
      <c r="I7" s="1" t="str">
        <f>IF(duomenys!$F24&lt;&gt;"",duomenys!N24,"")</f>
        <v/>
      </c>
      <c r="J7" s="1" t="str">
        <f>IF(duomenys!$F24&lt;&gt;"",duomenys!O24,"")</f>
        <v/>
      </c>
    </row>
    <row r="8" spans="1:10" x14ac:dyDescent="0.25">
      <c r="A8" s="1" t="str">
        <f>IF(duomenys!$F26&lt;&gt;"",duomenys!F26,"")</f>
        <v/>
      </c>
      <c r="B8" s="1" t="str">
        <f>IF(duomenys!$F26&lt;&gt;"",duomenys!G26,"")</f>
        <v/>
      </c>
      <c r="C8" s="1" t="str">
        <f>IF(duomenys!$F26&lt;&gt;"",duomenys!H26,"")</f>
        <v/>
      </c>
      <c r="D8" s="1" t="str">
        <f>IF(duomenys!$F26&lt;&gt;"",duomenys!I26,"")</f>
        <v/>
      </c>
      <c r="E8" s="1" t="str">
        <f>IF(duomenys!$F26&lt;&gt;"",duomenys!J26,"")</f>
        <v/>
      </c>
      <c r="F8" s="1" t="str">
        <f>IF(duomenys!$F26&lt;&gt;"",duomenys!K26,"")</f>
        <v/>
      </c>
      <c r="G8" s="1" t="str">
        <f>IF(duomenys!$F26&lt;&gt;"",duomenys!L26,"")</f>
        <v/>
      </c>
      <c r="H8" s="1" t="str">
        <f>IF(duomenys!$F26&lt;&gt;"",duomenys!M26,"")</f>
        <v/>
      </c>
      <c r="I8" s="1" t="str">
        <f>IF(duomenys!$F26&lt;&gt;"",duomenys!N26,"")</f>
        <v/>
      </c>
      <c r="J8" s="1" t="str">
        <f>IF(duomenys!$F26&lt;&gt;"",duomenys!O26,"")</f>
        <v/>
      </c>
    </row>
    <row r="9" spans="1:10" x14ac:dyDescent="0.25">
      <c r="A9" s="1" t="str">
        <f>IF(duomenys!$F28&lt;&gt;"",duomenys!F28,"")</f>
        <v/>
      </c>
      <c r="B9" s="1" t="str">
        <f>IF(duomenys!$F28&lt;&gt;"",duomenys!G28,"")</f>
        <v/>
      </c>
      <c r="C9" s="1" t="str">
        <f>IF(duomenys!$F28&lt;&gt;"",duomenys!H28,"")</f>
        <v/>
      </c>
      <c r="D9" s="1" t="str">
        <f>IF(duomenys!$F28&lt;&gt;"",duomenys!I28,"")</f>
        <v/>
      </c>
      <c r="E9" s="1" t="str">
        <f>IF(duomenys!$F28&lt;&gt;"",duomenys!J28,"")</f>
        <v/>
      </c>
      <c r="F9" s="1" t="str">
        <f>IF(duomenys!$F28&lt;&gt;"",duomenys!K28,"")</f>
        <v/>
      </c>
      <c r="G9" s="1" t="str">
        <f>IF(duomenys!$F28&lt;&gt;"",duomenys!L28,"")</f>
        <v/>
      </c>
      <c r="H9" s="1" t="str">
        <f>IF(duomenys!$F28&lt;&gt;"",duomenys!M28,"")</f>
        <v/>
      </c>
      <c r="I9" s="1" t="str">
        <f>IF(duomenys!$F28&lt;&gt;"",duomenys!N28,"")</f>
        <v/>
      </c>
      <c r="J9" s="1" t="str">
        <f>IF(duomenys!$F28&lt;&gt;"",duomenys!O28,"")</f>
        <v/>
      </c>
    </row>
    <row r="10" spans="1:10" x14ac:dyDescent="0.25">
      <c r="A10" s="1" t="str">
        <f>IF(duomenys!$F30&lt;&gt;"",duomenys!F30,"")</f>
        <v/>
      </c>
      <c r="B10" s="1" t="str">
        <f>IF(duomenys!$F30&lt;&gt;"",duomenys!G30,"")</f>
        <v/>
      </c>
      <c r="C10" s="1" t="str">
        <f>IF(duomenys!$F30&lt;&gt;"",duomenys!H30,"")</f>
        <v/>
      </c>
      <c r="D10" s="1" t="str">
        <f>IF(duomenys!$F30&lt;&gt;"",duomenys!I30,"")</f>
        <v/>
      </c>
      <c r="E10" s="1" t="str">
        <f>IF(duomenys!$F30&lt;&gt;"",duomenys!J30,"")</f>
        <v/>
      </c>
      <c r="F10" s="1" t="str">
        <f>IF(duomenys!$F30&lt;&gt;"",duomenys!K30,"")</f>
        <v/>
      </c>
      <c r="G10" s="1" t="str">
        <f>IF(duomenys!$F30&lt;&gt;"",duomenys!L30,"")</f>
        <v/>
      </c>
      <c r="H10" s="1" t="str">
        <f>IF(duomenys!$F30&lt;&gt;"",duomenys!M30,"")</f>
        <v/>
      </c>
      <c r="I10" s="1" t="str">
        <f>IF(duomenys!$F30&lt;&gt;"",duomenys!N30,"")</f>
        <v/>
      </c>
      <c r="J10" s="1" t="str">
        <f>IF(duomenys!$F30&lt;&gt;"",duomenys!O30,"")</f>
        <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55564-D58F-4B96-B028-41B7559DB6B3}">
  <sheetPr codeName="Sheet15"/>
  <dimension ref="A1:B35"/>
  <sheetViews>
    <sheetView workbookViewId="0">
      <selection activeCell="B8" sqref="B8"/>
    </sheetView>
  </sheetViews>
  <sheetFormatPr defaultRowHeight="15" x14ac:dyDescent="0.25"/>
  <cols>
    <col min="2" max="2" width="102.7109375" bestFit="1" customWidth="1"/>
  </cols>
  <sheetData>
    <row r="1" spans="1:2" x14ac:dyDescent="0.25">
      <c r="A1" s="1" t="s">
        <v>749</v>
      </c>
      <c r="B1" s="1" t="s">
        <v>750</v>
      </c>
    </row>
    <row r="2" spans="1:2" x14ac:dyDescent="0.25">
      <c r="A2" s="1">
        <v>2</v>
      </c>
      <c r="B2" s="141" t="s">
        <v>751</v>
      </c>
    </row>
    <row r="3" spans="1:2" x14ac:dyDescent="0.25">
      <c r="A3" s="1">
        <v>3</v>
      </c>
      <c r="B3" s="141" t="s">
        <v>752</v>
      </c>
    </row>
    <row r="4" spans="1:2" x14ac:dyDescent="0.25">
      <c r="A4" s="1">
        <v>4</v>
      </c>
      <c r="B4" s="141" t="s">
        <v>753</v>
      </c>
    </row>
    <row r="5" spans="1:2" x14ac:dyDescent="0.25">
      <c r="A5" s="1">
        <v>5</v>
      </c>
      <c r="B5" s="141" t="s">
        <v>754</v>
      </c>
    </row>
    <row r="6" spans="1:2" x14ac:dyDescent="0.25">
      <c r="A6" s="1">
        <v>6</v>
      </c>
      <c r="B6" s="141" t="s">
        <v>755</v>
      </c>
    </row>
    <row r="7" spans="1:2" ht="30" x14ac:dyDescent="0.25">
      <c r="A7" s="1">
        <v>7</v>
      </c>
      <c r="B7" s="104" t="s">
        <v>756</v>
      </c>
    </row>
    <row r="8" spans="1:2" x14ac:dyDescent="0.25">
      <c r="A8" s="1">
        <v>8</v>
      </c>
      <c r="B8" s="45" t="s">
        <v>757</v>
      </c>
    </row>
    <row r="9" spans="1:2" x14ac:dyDescent="0.25">
      <c r="A9" s="1">
        <v>9</v>
      </c>
      <c r="B9" s="1" t="s">
        <v>758</v>
      </c>
    </row>
    <row r="10" spans="1:2" x14ac:dyDescent="0.25">
      <c r="A10" s="1">
        <v>10</v>
      </c>
      <c r="B10" s="1" t="s">
        <v>759</v>
      </c>
    </row>
    <row r="11" spans="1:2" x14ac:dyDescent="0.25">
      <c r="A11" s="1">
        <v>11</v>
      </c>
      <c r="B11" s="1" t="s">
        <v>760</v>
      </c>
    </row>
    <row r="12" spans="1:2" x14ac:dyDescent="0.25">
      <c r="A12" s="1">
        <v>12</v>
      </c>
      <c r="B12" s="1" t="s">
        <v>751</v>
      </c>
    </row>
    <row r="13" spans="1:2" x14ac:dyDescent="0.25">
      <c r="A13" s="1">
        <v>13</v>
      </c>
      <c r="B13" s="1" t="s">
        <v>761</v>
      </c>
    </row>
    <row r="14" spans="1:2" x14ac:dyDescent="0.25">
      <c r="A14" s="1">
        <v>14</v>
      </c>
      <c r="B14" s="1" t="s">
        <v>762</v>
      </c>
    </row>
    <row r="15" spans="1:2" x14ac:dyDescent="0.25">
      <c r="A15" s="1">
        <v>15</v>
      </c>
      <c r="B15" s="1" t="s">
        <v>763</v>
      </c>
    </row>
    <row r="16" spans="1:2" x14ac:dyDescent="0.25">
      <c r="A16" s="1">
        <v>16</v>
      </c>
      <c r="B16" s="1" t="s">
        <v>764</v>
      </c>
    </row>
    <row r="17" spans="1:2" x14ac:dyDescent="0.25">
      <c r="A17" s="1">
        <v>17</v>
      </c>
      <c r="B17" s="1" t="s">
        <v>765</v>
      </c>
    </row>
    <row r="18" spans="1:2" x14ac:dyDescent="0.25">
      <c r="A18" s="1">
        <v>18</v>
      </c>
      <c r="B18" s="1" t="s">
        <v>766</v>
      </c>
    </row>
    <row r="19" spans="1:2" x14ac:dyDescent="0.25">
      <c r="A19" s="1">
        <v>19</v>
      </c>
      <c r="B19" s="1" t="s">
        <v>767</v>
      </c>
    </row>
    <row r="20" spans="1:2" x14ac:dyDescent="0.25">
      <c r="A20" s="1">
        <v>20</v>
      </c>
      <c r="B20" s="1" t="s">
        <v>768</v>
      </c>
    </row>
    <row r="21" spans="1:2" x14ac:dyDescent="0.25">
      <c r="A21" s="1">
        <v>21</v>
      </c>
      <c r="B21" s="1" t="s">
        <v>769</v>
      </c>
    </row>
    <row r="22" spans="1:2" x14ac:dyDescent="0.25">
      <c r="A22" s="1">
        <v>22</v>
      </c>
      <c r="B22" s="1" t="s">
        <v>770</v>
      </c>
    </row>
    <row r="23" spans="1:2" x14ac:dyDescent="0.25">
      <c r="A23" s="1">
        <v>23</v>
      </c>
      <c r="B23" s="1" t="s">
        <v>771</v>
      </c>
    </row>
    <row r="24" spans="1:2" x14ac:dyDescent="0.25">
      <c r="A24" s="1">
        <v>24</v>
      </c>
      <c r="B24" s="1" t="s">
        <v>772</v>
      </c>
    </row>
    <row r="25" spans="1:2" x14ac:dyDescent="0.25">
      <c r="A25" s="1">
        <v>25</v>
      </c>
      <c r="B25" s="1" t="s">
        <v>773</v>
      </c>
    </row>
    <row r="26" spans="1:2" x14ac:dyDescent="0.25">
      <c r="A26" s="1">
        <v>26</v>
      </c>
      <c r="B26" s="1" t="s">
        <v>774</v>
      </c>
    </row>
    <row r="27" spans="1:2" x14ac:dyDescent="0.25">
      <c r="A27" s="1">
        <v>27</v>
      </c>
      <c r="B27" s="1" t="s">
        <v>775</v>
      </c>
    </row>
    <row r="28" spans="1:2" x14ac:dyDescent="0.25">
      <c r="A28" s="1">
        <v>28</v>
      </c>
      <c r="B28" s="1" t="s">
        <v>776</v>
      </c>
    </row>
    <row r="29" spans="1:2" x14ac:dyDescent="0.25">
      <c r="A29" s="1"/>
      <c r="B29" s="1"/>
    </row>
    <row r="30" spans="1:2" x14ac:dyDescent="0.25">
      <c r="A30" s="1"/>
      <c r="B30" s="1"/>
    </row>
    <row r="31" spans="1:2" x14ac:dyDescent="0.25">
      <c r="A31" s="1"/>
      <c r="B31" s="1"/>
    </row>
    <row r="32" spans="1:2" x14ac:dyDescent="0.25">
      <c r="A32" s="1"/>
      <c r="B32" s="1"/>
    </row>
    <row r="33" spans="1:2" x14ac:dyDescent="0.25">
      <c r="A33" s="1"/>
      <c r="B33" s="1"/>
    </row>
    <row r="34" spans="1:2" x14ac:dyDescent="0.25">
      <c r="A34" s="1"/>
      <c r="B34" s="1"/>
    </row>
    <row r="35" spans="1:2" x14ac:dyDescent="0.25">
      <c r="A35" s="1"/>
      <c r="B35" s="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0E29E-F6F7-4685-96CF-B4CDBEC60C41}">
  <sheetPr codeName="Sheet8"/>
  <dimension ref="A1:J23"/>
  <sheetViews>
    <sheetView workbookViewId="0">
      <selection activeCell="A4" sqref="A4"/>
    </sheetView>
  </sheetViews>
  <sheetFormatPr defaultRowHeight="15" x14ac:dyDescent="0.25"/>
  <sheetData>
    <row r="1" spans="1:10" x14ac:dyDescent="0.25">
      <c r="A1" s="1" t="str">
        <f>IF(duomenys!F12&lt;&gt;"",duomenys!$A12*((duomenys!$E12-duomenys!F12)/(-1*(duomenys!$D12-duomenys!$E12))),"")</f>
        <v/>
      </c>
      <c r="B1" s="1" t="str">
        <f>IF(duomenys!G12&lt;&gt;"",duomenys!$A12*((duomenys!$E12-duomenys!G12)/(-1*(duomenys!$D12-duomenys!$E12))),"")</f>
        <v/>
      </c>
      <c r="C1" s="1" t="str">
        <f>IF(duomenys!H12&lt;&gt;"",duomenys!$A12*((duomenys!$E12-duomenys!H12)/(-1*(duomenys!$D12-duomenys!$E12))),"")</f>
        <v/>
      </c>
      <c r="D1" s="1" t="str">
        <f>IF(duomenys!I12&lt;&gt;"",duomenys!$A12*((duomenys!$E12-duomenys!I12)/(-1*(duomenys!$D12-duomenys!$E12))),"")</f>
        <v/>
      </c>
      <c r="E1" s="1" t="str">
        <f>IF(duomenys!J12&lt;&gt;"",duomenys!$A12*((duomenys!$E12-duomenys!J12)/(-1*(duomenys!$D12-duomenys!$E12))),"")</f>
        <v/>
      </c>
      <c r="F1" s="1" t="str">
        <f>IF(duomenys!K12&lt;&gt;"",duomenys!$A12*((duomenys!$E12-duomenys!K12)/(-1*(duomenys!$D12-duomenys!$E12))),"")</f>
        <v/>
      </c>
      <c r="G1" s="1" t="str">
        <f>IF(duomenys!L12&lt;&gt;"",duomenys!$A12*((duomenys!$E12-duomenys!L12)/(-1*(duomenys!$D12-duomenys!$E12))),"")</f>
        <v/>
      </c>
      <c r="H1" s="1" t="str">
        <f>IF(duomenys!M12&lt;&gt;"",duomenys!$A12*((duomenys!$E12-duomenys!M12)/(-1*(duomenys!$D12-duomenys!$E12))),"")</f>
        <v/>
      </c>
      <c r="I1" s="1" t="str">
        <f>IF(duomenys!N12&lt;&gt;"",duomenys!$A12*((duomenys!$E12-duomenys!N12)/(-1*(duomenys!$D12-duomenys!$E12))),"")</f>
        <v/>
      </c>
      <c r="J1" s="1" t="str">
        <f>IF(duomenys!O12&lt;&gt;"",duomenys!$A12*((duomenys!$E12-duomenys!O12)/(-1*(duomenys!$D12-duomenys!$E12))),"")</f>
        <v/>
      </c>
    </row>
    <row r="2" spans="1:10" x14ac:dyDescent="0.25">
      <c r="A2" s="1" t="str">
        <f>IF(duomenys!F14&lt;&gt;"",duomenys!$A14*((duomenys!$E14-duomenys!F14)/(-1*(duomenys!$D14-duomenys!$E14))),"")</f>
        <v/>
      </c>
      <c r="B2" s="1" t="str">
        <f>IF(duomenys!G14&lt;&gt;"",duomenys!$A14*((duomenys!$E14-duomenys!G14)/(-1*(duomenys!$D14-duomenys!$E14))),"")</f>
        <v/>
      </c>
      <c r="C2" s="1" t="str">
        <f>IF(duomenys!H14&lt;&gt;"",duomenys!$A14*((duomenys!$E14-duomenys!H14)/(-1*(duomenys!$D14-duomenys!$E14))),"")</f>
        <v/>
      </c>
      <c r="D2" s="1" t="str">
        <f>IF(duomenys!I14&lt;&gt;"",duomenys!$A14*((duomenys!$E14-duomenys!I14)/(-1*(duomenys!$D14-duomenys!$E14))),"")</f>
        <v/>
      </c>
      <c r="E2" s="1" t="str">
        <f>IF(duomenys!J14&lt;&gt;"",duomenys!$A14*((duomenys!$E14-duomenys!J14)/(-1*(duomenys!$D14-duomenys!$E14))),"")</f>
        <v/>
      </c>
      <c r="F2" s="1" t="str">
        <f>IF(duomenys!K14&lt;&gt;"",duomenys!$A14*((duomenys!$E14-duomenys!K14)/(-1*(duomenys!$D14-duomenys!$E14))),"")</f>
        <v/>
      </c>
      <c r="G2" s="1" t="str">
        <f>IF(duomenys!L14&lt;&gt;"",duomenys!$A14*((duomenys!$E14-duomenys!L14)/(-1*(duomenys!$D14-duomenys!$E14))),"")</f>
        <v/>
      </c>
      <c r="H2" s="1" t="str">
        <f>IF(duomenys!M14&lt;&gt;"",duomenys!$A14*((duomenys!$E14-duomenys!M14)/(-1*(duomenys!$D14-duomenys!$E14))),"")</f>
        <v/>
      </c>
      <c r="I2" s="1" t="str">
        <f>IF(duomenys!N14&lt;&gt;"",duomenys!$A14*((duomenys!$E14-duomenys!N14)/(-1*(duomenys!$D14-duomenys!$E14))),"")</f>
        <v/>
      </c>
      <c r="J2" s="1" t="str">
        <f>IF(duomenys!O14&lt;&gt;"",duomenys!$A14*((duomenys!$E14-duomenys!O14)/(-1*(duomenys!$D14-duomenys!$E14))),"")</f>
        <v/>
      </c>
    </row>
    <row r="3" spans="1:10" x14ac:dyDescent="0.25">
      <c r="A3" s="1" t="str">
        <f>IF(duomenys!F16&lt;&gt;"",duomenys!$A16*((duomenys!$E16-duomenys!F16)/(-1*(duomenys!$D16-duomenys!$E16))),"")</f>
        <v/>
      </c>
      <c r="B3" s="1" t="str">
        <f>IF(duomenys!G16&lt;&gt;"",duomenys!$A16*((duomenys!$E16-duomenys!G16)/(-1*(duomenys!$D16-duomenys!$E16))),"")</f>
        <v/>
      </c>
      <c r="C3" s="1" t="str">
        <f>IF(duomenys!H16&lt;&gt;"",duomenys!$A16*((duomenys!$E16-duomenys!H16)/(-1*(duomenys!$D16-duomenys!$E16))),"")</f>
        <v/>
      </c>
      <c r="D3" s="1" t="str">
        <f>IF(duomenys!I16&lt;&gt;"",duomenys!$A16*((duomenys!$E16-duomenys!I16)/(-1*(duomenys!$D16-duomenys!$E16))),"")</f>
        <v/>
      </c>
      <c r="E3" s="1" t="str">
        <f>IF(duomenys!J16&lt;&gt;"",duomenys!$A16*((duomenys!$E16-duomenys!J16)/(-1*(duomenys!$D16-duomenys!$E16))),"")</f>
        <v/>
      </c>
      <c r="F3" s="1" t="str">
        <f>IF(duomenys!K16&lt;&gt;"",duomenys!$A16*((duomenys!$E16-duomenys!K16)/(-1*(duomenys!$D16-duomenys!$E16))),"")</f>
        <v/>
      </c>
      <c r="G3" s="1" t="str">
        <f>IF(duomenys!L16&lt;&gt;"",duomenys!$A16*((duomenys!$E16-duomenys!L16)/(-1*(duomenys!$D16-duomenys!$E16))),"")</f>
        <v/>
      </c>
      <c r="H3" s="1" t="str">
        <f>IF(duomenys!M16&lt;&gt;"",duomenys!$A16*((duomenys!$E16-duomenys!M16)/(-1*(duomenys!$D16-duomenys!$E16))),"")</f>
        <v/>
      </c>
      <c r="I3" s="1" t="str">
        <f>IF(duomenys!N16&lt;&gt;"",duomenys!$A16*((duomenys!$E16-duomenys!N16)/(-1*(duomenys!$D16-duomenys!$E16))),"")</f>
        <v/>
      </c>
      <c r="J3" s="1" t="str">
        <f>IF(duomenys!O16&lt;&gt;"",duomenys!$A16*((duomenys!$E16-duomenys!O16)/(-1*(duomenys!$D16-duomenys!$E16))),"")</f>
        <v/>
      </c>
    </row>
    <row r="4" spans="1:10" x14ac:dyDescent="0.25">
      <c r="A4" s="1" t="str">
        <f>IF(duomenys!F18&lt;&gt;"",duomenys!$A18*((duomenys!$E18-duomenys!F18)/(-1*(duomenys!$D18-duomenys!$E18))),"")</f>
        <v/>
      </c>
      <c r="B4" s="1" t="str">
        <f>IF(duomenys!G18&lt;&gt;"",duomenys!$A18*((duomenys!$E18-duomenys!G18)/(-1*(duomenys!$D18-duomenys!$E18))),"")</f>
        <v/>
      </c>
      <c r="C4" s="1" t="str">
        <f>IF(duomenys!H18&lt;&gt;"",duomenys!$A18*((duomenys!$E18-duomenys!H18)/(-1*(duomenys!$D18-duomenys!$E18))),"")</f>
        <v/>
      </c>
      <c r="D4" s="1" t="str">
        <f>IF(duomenys!I18&lt;&gt;"",duomenys!$A18*((duomenys!$E18-duomenys!I18)/(-1*(duomenys!$D18-duomenys!$E18))),"")</f>
        <v/>
      </c>
      <c r="E4" s="1" t="str">
        <f>IF(duomenys!J18&lt;&gt;"",duomenys!$A18*((duomenys!$E18-duomenys!J18)/(-1*(duomenys!$D18-duomenys!$E18))),"")</f>
        <v/>
      </c>
      <c r="F4" s="1" t="str">
        <f>IF(duomenys!K18&lt;&gt;"",duomenys!$A18*((duomenys!$E18-duomenys!K18)/(-1*(duomenys!$D18-duomenys!$E18))),"")</f>
        <v/>
      </c>
      <c r="G4" s="1" t="str">
        <f>IF(duomenys!L18&lt;&gt;"",duomenys!$A18*((duomenys!$E18-duomenys!L18)/(-1*(duomenys!$D18-duomenys!$E18))),"")</f>
        <v/>
      </c>
      <c r="H4" s="1" t="str">
        <f>IF(duomenys!M18&lt;&gt;"",duomenys!$A18*((duomenys!$E18-duomenys!M18)/(-1*(duomenys!$D18-duomenys!$E18))),"")</f>
        <v/>
      </c>
      <c r="I4" s="1" t="str">
        <f>IF(duomenys!N18&lt;&gt;"",duomenys!$A18*((duomenys!$E18-duomenys!N18)/(-1*(duomenys!$D18-duomenys!$E18))),"")</f>
        <v/>
      </c>
      <c r="J4" s="1" t="str">
        <f>IF(duomenys!O18&lt;&gt;"",duomenys!$A18*((duomenys!$E18-duomenys!O18)/(-1*(duomenys!$D18-duomenys!$E18))),"")</f>
        <v/>
      </c>
    </row>
    <row r="5" spans="1:10" x14ac:dyDescent="0.25">
      <c r="A5" s="1" t="str">
        <f>IF(duomenys!F20&lt;&gt;"",duomenys!$A20*((duomenys!$E20-duomenys!F20)/(-1*(duomenys!$D20-duomenys!$E20))),"")</f>
        <v/>
      </c>
      <c r="B5" s="1" t="str">
        <f>IF(duomenys!G20&lt;&gt;"",duomenys!$A20*((duomenys!$E20-duomenys!G20)/(-1*(duomenys!$D20-duomenys!$E20))),"")</f>
        <v/>
      </c>
      <c r="C5" s="1" t="str">
        <f>IF(duomenys!H20&lt;&gt;"",duomenys!$A20*((duomenys!$E20-duomenys!H20)/(-1*(duomenys!$D20-duomenys!$E20))),"")</f>
        <v/>
      </c>
      <c r="D5" s="1" t="str">
        <f>IF(duomenys!I20&lt;&gt;"",duomenys!$A20*((duomenys!$E20-duomenys!I20)/(-1*(duomenys!$D20-duomenys!$E20))),"")</f>
        <v/>
      </c>
      <c r="E5" s="1" t="str">
        <f>IF(duomenys!J20&lt;&gt;"",duomenys!$A20*((duomenys!$E20-duomenys!J20)/(-1*(duomenys!$D20-duomenys!$E20))),"")</f>
        <v/>
      </c>
      <c r="F5" s="1" t="str">
        <f>IF(duomenys!K20&lt;&gt;"",duomenys!$A20*((duomenys!$E20-duomenys!K20)/(-1*(duomenys!$D20-duomenys!$E20))),"")</f>
        <v/>
      </c>
      <c r="G5" s="1" t="str">
        <f>IF(duomenys!L20&lt;&gt;"",duomenys!$A20*((duomenys!$E20-duomenys!L20)/(-1*(duomenys!$D20-duomenys!$E20))),"")</f>
        <v/>
      </c>
      <c r="H5" s="1" t="str">
        <f>IF(duomenys!M20&lt;&gt;"",duomenys!$A20*((duomenys!$E20-duomenys!M20)/(-1*(duomenys!$D20-duomenys!$E20))),"")</f>
        <v/>
      </c>
      <c r="I5" s="1" t="str">
        <f>IF(duomenys!N20&lt;&gt;"",duomenys!$A20*((duomenys!$E20-duomenys!N20)/(-1*(duomenys!$D20-duomenys!$E20))),"")</f>
        <v/>
      </c>
      <c r="J5" s="1" t="str">
        <f>IF(duomenys!O20&lt;&gt;"",duomenys!$A20*((duomenys!$E20-duomenys!O20)/(-1*(duomenys!$D20-duomenys!$E20))),"")</f>
        <v/>
      </c>
    </row>
    <row r="6" spans="1:10" x14ac:dyDescent="0.25">
      <c r="A6" s="1" t="str">
        <f>IF(duomenys!F22&lt;&gt;"",duomenys!$A22*((duomenys!$E22-duomenys!F22)/(-1*(duomenys!$D22-duomenys!$E22))),"")</f>
        <v/>
      </c>
      <c r="B6" s="1" t="str">
        <f>IF(duomenys!G22&lt;&gt;"",duomenys!$A22*((duomenys!$E22-duomenys!G22)/(-1*(duomenys!$D22-duomenys!$E22))),"")</f>
        <v/>
      </c>
      <c r="C6" s="1" t="str">
        <f>IF(duomenys!H22&lt;&gt;"",duomenys!$A22*((duomenys!$E22-duomenys!H22)/(-1*(duomenys!$D22-duomenys!$E22))),"")</f>
        <v/>
      </c>
      <c r="D6" s="1" t="str">
        <f>IF(duomenys!I22&lt;&gt;"",duomenys!$A22*((duomenys!$E22-duomenys!I22)/(-1*(duomenys!$D22-duomenys!$E22))),"")</f>
        <v/>
      </c>
      <c r="E6" s="1" t="str">
        <f>IF(duomenys!J22&lt;&gt;"",duomenys!$A22*((duomenys!$E22-duomenys!J22)/(-1*(duomenys!$D22-duomenys!$E22))),"")</f>
        <v/>
      </c>
      <c r="F6" s="1" t="str">
        <f>IF(duomenys!K22&lt;&gt;"",duomenys!$A22*((duomenys!$E22-duomenys!K22)/(-1*(duomenys!$D22-duomenys!$E22))),"")</f>
        <v/>
      </c>
      <c r="G6" s="1" t="str">
        <f>IF(duomenys!L22&lt;&gt;"",duomenys!$A22*((duomenys!$E22-duomenys!L22)/(-1*(duomenys!$D22-duomenys!$E22))),"")</f>
        <v/>
      </c>
      <c r="H6" s="1" t="str">
        <f>IF(duomenys!M22&lt;&gt;"",duomenys!$A22*((duomenys!$E22-duomenys!M22)/(-1*(duomenys!$D22-duomenys!$E22))),"")</f>
        <v/>
      </c>
      <c r="I6" s="1" t="str">
        <f>IF(duomenys!N22&lt;&gt;"",duomenys!$A22*((duomenys!$E22-duomenys!N22)/(-1*(duomenys!$D22-duomenys!$E22))),"")</f>
        <v/>
      </c>
      <c r="J6" s="1" t="str">
        <f>IF(duomenys!O22&lt;&gt;"",duomenys!$A22*((duomenys!$E22-duomenys!O22)/(-1*(duomenys!$D22-duomenys!$E22))),"")</f>
        <v/>
      </c>
    </row>
    <row r="7" spans="1:10" x14ac:dyDescent="0.25">
      <c r="A7" s="1" t="str">
        <f>IF(duomenys!F24&lt;&gt;"",duomenys!$A24*((duomenys!$E24-duomenys!F24)/(-1*(duomenys!$D24-duomenys!$E24))),"")</f>
        <v/>
      </c>
      <c r="B7" s="1" t="str">
        <f>IF(duomenys!G24&lt;&gt;"",duomenys!$A24*((duomenys!$E24-duomenys!G24)/(-1*(duomenys!$D24-duomenys!$E24))),"")</f>
        <v/>
      </c>
      <c r="C7" s="1" t="str">
        <f>IF(duomenys!H24&lt;&gt;"",duomenys!$A24*((duomenys!$E24-duomenys!H24)/(-1*(duomenys!$D24-duomenys!$E24))),"")</f>
        <v/>
      </c>
      <c r="D7" s="1" t="str">
        <f>IF(duomenys!I24&lt;&gt;"",duomenys!$A24*((duomenys!$E24-duomenys!I24)/(-1*(duomenys!$D24-duomenys!$E24))),"")</f>
        <v/>
      </c>
      <c r="E7" s="1" t="str">
        <f>IF(duomenys!J24&lt;&gt;"",duomenys!$A24*((duomenys!$E24-duomenys!J24)/(-1*(duomenys!$D24-duomenys!$E24))),"")</f>
        <v/>
      </c>
      <c r="F7" s="1" t="str">
        <f>IF(duomenys!K24&lt;&gt;"",duomenys!$A24*((duomenys!$E24-duomenys!K24)/(-1*(duomenys!$D24-duomenys!$E24))),"")</f>
        <v/>
      </c>
      <c r="G7" s="1" t="str">
        <f>IF(duomenys!L24&lt;&gt;"",duomenys!$A24*((duomenys!$E24-duomenys!L24)/(-1*(duomenys!$D24-duomenys!$E24))),"")</f>
        <v/>
      </c>
      <c r="H7" s="1" t="str">
        <f>IF(duomenys!M24&lt;&gt;"",duomenys!$A24*((duomenys!$E24-duomenys!M24)/(-1*(duomenys!$D24-duomenys!$E24))),"")</f>
        <v/>
      </c>
      <c r="I7" s="1" t="str">
        <f>IF(duomenys!N24&lt;&gt;"",duomenys!$A24*((duomenys!$E24-duomenys!N24)/(-1*(duomenys!$D24-duomenys!$E24))),"")</f>
        <v/>
      </c>
      <c r="J7" s="1" t="str">
        <f>IF(duomenys!O24&lt;&gt;"",duomenys!$A24*((duomenys!$E24-duomenys!O24)/(-1*(duomenys!$D24-duomenys!$E24))),"")</f>
        <v/>
      </c>
    </row>
    <row r="8" spans="1:10" x14ac:dyDescent="0.25">
      <c r="A8" s="1" t="str">
        <f>IF(duomenys!F26&lt;&gt;"",duomenys!$A26*((duomenys!$E26-duomenys!F26)/(-1*(duomenys!$D26-duomenys!$E26))),"")</f>
        <v/>
      </c>
      <c r="B8" s="1" t="str">
        <f>IF(duomenys!G26&lt;&gt;"",duomenys!$A26*((duomenys!$E26-duomenys!G26)/(-1*(duomenys!$D26-duomenys!$E26))),"")</f>
        <v/>
      </c>
      <c r="C8" s="1" t="str">
        <f>IF(duomenys!H26&lt;&gt;"",duomenys!$A26*((duomenys!$E26-duomenys!H26)/(-1*(duomenys!$D26-duomenys!$E26))),"")</f>
        <v/>
      </c>
      <c r="D8" s="1" t="str">
        <f>IF(duomenys!I26&lt;&gt;"",duomenys!$A26*((duomenys!$E26-duomenys!I26)/(-1*(duomenys!$D26-duomenys!$E26))),"")</f>
        <v/>
      </c>
      <c r="E8" s="1" t="str">
        <f>IF(duomenys!J26&lt;&gt;"",duomenys!$A26*((duomenys!$E26-duomenys!J26)/(-1*(duomenys!$D26-duomenys!$E26))),"")</f>
        <v/>
      </c>
      <c r="F8" s="1" t="str">
        <f>IF(duomenys!K26&lt;&gt;"",duomenys!$A26*((duomenys!$E26-duomenys!K26)/(-1*(duomenys!$D26-duomenys!$E26))),"")</f>
        <v/>
      </c>
      <c r="G8" s="1" t="str">
        <f>IF(duomenys!L26&lt;&gt;"",duomenys!$A26*((duomenys!$E26-duomenys!L26)/(-1*(duomenys!$D26-duomenys!$E26))),"")</f>
        <v/>
      </c>
      <c r="H8" s="1" t="str">
        <f>IF(duomenys!M26&lt;&gt;"",duomenys!$A26*((duomenys!$E26-duomenys!M26)/(-1*(duomenys!$D26-duomenys!$E26))),"")</f>
        <v/>
      </c>
      <c r="I8" s="1" t="str">
        <f>IF(duomenys!N26&lt;&gt;"",duomenys!$A26*((duomenys!$E26-duomenys!N26)/(-1*(duomenys!$D26-duomenys!$E26))),"")</f>
        <v/>
      </c>
      <c r="J8" s="1" t="str">
        <f>IF(duomenys!O26&lt;&gt;"",duomenys!$A26*((duomenys!$E26-duomenys!O26)/(-1*(duomenys!$D26-duomenys!$E26))),"")</f>
        <v/>
      </c>
    </row>
    <row r="9" spans="1:10" x14ac:dyDescent="0.25">
      <c r="A9" s="1" t="str">
        <f>IF(duomenys!F28&lt;&gt;"",duomenys!$A28*((duomenys!$E28-duomenys!F28)/(-1*(duomenys!$D28-duomenys!$E28))),"")</f>
        <v/>
      </c>
      <c r="B9" s="1" t="str">
        <f>IF(duomenys!G28&lt;&gt;"",duomenys!$A28*((duomenys!$E28-duomenys!G28)/(-1*(duomenys!$D28-duomenys!$E28))),"")</f>
        <v/>
      </c>
      <c r="C9" s="1" t="str">
        <f>IF(duomenys!H28&lt;&gt;"",duomenys!$A28*((duomenys!$E28-duomenys!H28)/(-1*(duomenys!$D28-duomenys!$E28))),"")</f>
        <v/>
      </c>
      <c r="D9" s="1" t="str">
        <f>IF(duomenys!I28&lt;&gt;"",duomenys!$A28*((duomenys!$E28-duomenys!I28)/(-1*(duomenys!$D28-duomenys!$E28))),"")</f>
        <v/>
      </c>
      <c r="E9" s="1" t="str">
        <f>IF(duomenys!J28&lt;&gt;"",duomenys!$A28*((duomenys!$E28-duomenys!J28)/(-1*(duomenys!$D28-duomenys!$E28))),"")</f>
        <v/>
      </c>
      <c r="F9" s="1" t="str">
        <f>IF(duomenys!K28&lt;&gt;"",duomenys!$A28*((duomenys!$E28-duomenys!K28)/(-1*(duomenys!$D28-duomenys!$E28))),"")</f>
        <v/>
      </c>
      <c r="G9" s="1" t="str">
        <f>IF(duomenys!L28&lt;&gt;"",duomenys!$A28*((duomenys!$E28-duomenys!L28)/(-1*(duomenys!$D28-duomenys!$E28))),"")</f>
        <v/>
      </c>
      <c r="H9" s="1" t="str">
        <f>IF(duomenys!M28&lt;&gt;"",duomenys!$A28*((duomenys!$E28-duomenys!M28)/(-1*(duomenys!$D28-duomenys!$E28))),"")</f>
        <v/>
      </c>
      <c r="I9" s="1" t="str">
        <f>IF(duomenys!N28&lt;&gt;"",duomenys!$A28*((duomenys!$E28-duomenys!N28)/(-1*(duomenys!$D28-duomenys!$E28))),"")</f>
        <v/>
      </c>
      <c r="J9" s="1" t="str">
        <f>IF(duomenys!O28&lt;&gt;"",duomenys!$A28*((duomenys!$E28-duomenys!O28)/(-1*(duomenys!$D28-duomenys!$E28))),"")</f>
        <v/>
      </c>
    </row>
    <row r="10" spans="1:10" x14ac:dyDescent="0.25">
      <c r="A10" s="1" t="str">
        <f>IF(duomenys!F30&lt;&gt;"",duomenys!$A30*((duomenys!$E30-duomenys!F30)/(-1*(duomenys!$D30-duomenys!$E30))),"")</f>
        <v/>
      </c>
      <c r="B10" s="1" t="str">
        <f>IF(duomenys!G30&lt;&gt;"",duomenys!$A30*((duomenys!$E30-duomenys!G30)/(-1*(duomenys!$D30-duomenys!$E30))),"")</f>
        <v/>
      </c>
      <c r="C10" s="1" t="str">
        <f>IF(duomenys!H30&lt;&gt;"",duomenys!$A30*((duomenys!$E30-duomenys!H30)/(-1*(duomenys!$D30-duomenys!$E30))),"")</f>
        <v/>
      </c>
      <c r="D10" s="1" t="str">
        <f>IF(duomenys!I30&lt;&gt;"",duomenys!$A30*((duomenys!$E30-duomenys!I30)/(-1*(duomenys!$D30-duomenys!$E30))),"")</f>
        <v/>
      </c>
      <c r="E10" s="1" t="str">
        <f>IF(duomenys!J30&lt;&gt;"",duomenys!$A30*((duomenys!$E30-duomenys!J30)/(-1*(duomenys!$D30-duomenys!$E30))),"")</f>
        <v/>
      </c>
      <c r="F10" s="1" t="str">
        <f>IF(duomenys!K30&lt;&gt;"",duomenys!$A30*((duomenys!$E30-duomenys!K30)/(-1*(duomenys!$D30-duomenys!$E30))),"")</f>
        <v/>
      </c>
      <c r="G10" s="1" t="str">
        <f>IF(duomenys!L30&lt;&gt;"",duomenys!$A30*((duomenys!$E30-duomenys!L30)/(-1*(duomenys!$D30-duomenys!$E30))),"")</f>
        <v/>
      </c>
      <c r="H10" s="1" t="str">
        <f>IF(duomenys!M30&lt;&gt;"",duomenys!$A30*((duomenys!$E30-duomenys!M30)/(-1*(duomenys!$D30-duomenys!$E30))),"")</f>
        <v/>
      </c>
      <c r="I10" s="1" t="str">
        <f>IF(duomenys!N30&lt;&gt;"",duomenys!$A30*((duomenys!$E30-duomenys!N30)/(-1*(duomenys!$D30-duomenys!$E30))),"")</f>
        <v/>
      </c>
      <c r="J10" s="1" t="str">
        <f>IF(duomenys!O30&lt;&gt;"",duomenys!$A30*((duomenys!$E30-duomenys!O30)/(-1*(duomenys!$D30-duomenys!$E30))),"")</f>
        <v/>
      </c>
    </row>
    <row r="11" spans="1:10" x14ac:dyDescent="0.25">
      <c r="A11" t="str">
        <f ca="1">IF(duomenys!F23&lt;&gt;"",duomenys!$A23*((duomenys!$E23-duomenys!F23)/(-1*(duomenys!$D23-duomenys!$E23))),"")</f>
        <v/>
      </c>
      <c r="B11" t="str">
        <f ca="1">IF(duomenys!G23&lt;&gt;"",duomenys!$A23*((duomenys!$E23-duomenys!G23)/(-1*(duomenys!$D23-duomenys!$E23))),"")</f>
        <v/>
      </c>
      <c r="C11" t="str">
        <f ca="1">IF(duomenys!H23&lt;&gt;"",duomenys!$A23*((duomenys!$E23-duomenys!H23)/(-1*(duomenys!$D23-duomenys!$E23))),"")</f>
        <v/>
      </c>
      <c r="D11" t="str">
        <f ca="1">IF(duomenys!I23&lt;&gt;"",duomenys!$A23*((duomenys!$E23-duomenys!I23)/(-1*(duomenys!$D23-duomenys!$E23))),"")</f>
        <v/>
      </c>
      <c r="E11" t="str">
        <f ca="1">IF(duomenys!J23&lt;&gt;"",duomenys!$A23*((duomenys!$E23-duomenys!J23)/(-1*(duomenys!$D23-duomenys!$E23))),"")</f>
        <v/>
      </c>
      <c r="F11" t="str">
        <f ca="1">IF(duomenys!K23&lt;&gt;"",duomenys!$A23*((duomenys!$E23-duomenys!K23)/(-1*(duomenys!$D23-duomenys!$E23))),"")</f>
        <v/>
      </c>
      <c r="G11" t="str">
        <f ca="1">IF(duomenys!L23&lt;&gt;"",duomenys!$A23*((duomenys!$E23-duomenys!L23)/(-1*(duomenys!$D23-duomenys!$E23))),"")</f>
        <v/>
      </c>
      <c r="H11" t="str">
        <f ca="1">IF(duomenys!M23&lt;&gt;"",duomenys!$A23*((duomenys!$E23-duomenys!M23)/(-1*(duomenys!$D23-duomenys!$E23))),"")</f>
        <v/>
      </c>
      <c r="I11" t="str">
        <f ca="1">IF(duomenys!N23&lt;&gt;"",duomenys!$A23*((duomenys!$E23-duomenys!N23)/(-1*(duomenys!$D23-duomenys!$E23))),"")</f>
        <v/>
      </c>
      <c r="J11" t="str">
        <f ca="1">IF(duomenys!O23&lt;&gt;"",duomenys!$A23*((duomenys!$E23-duomenys!O23)/(-1*(duomenys!$D23-duomenys!$E23))),"")</f>
        <v/>
      </c>
    </row>
    <row r="20" spans="1:10" x14ac:dyDescent="0.25">
      <c r="A20" t="str">
        <f>IF(duomenys!F32&lt;&gt;"",duomenys!$A32*((duomenys!$E32-duomenys!F32)/(-1*(duomenys!$D32-duomenys!$E32))),"")</f>
        <v/>
      </c>
      <c r="B20" t="str">
        <f>IF(duomenys!G32&lt;&gt;"",duomenys!$A32*((duomenys!$E32-duomenys!G32)/(-1*(duomenys!$D32-duomenys!$E32))),"")</f>
        <v/>
      </c>
      <c r="C20" t="str">
        <f>IF(duomenys!H32&lt;&gt;"",duomenys!$A32*((duomenys!$E32-duomenys!H32)/(-1*(duomenys!$D32-duomenys!$E32))),"")</f>
        <v/>
      </c>
      <c r="D20" t="str">
        <f>IF(duomenys!I32&lt;&gt;"",duomenys!$A32*((duomenys!$E32-duomenys!I32)/(-1*(duomenys!$D32-duomenys!$E32))),"")</f>
        <v/>
      </c>
      <c r="E20" t="str">
        <f>IF(duomenys!J32&lt;&gt;"",duomenys!$A32*((duomenys!$E32-duomenys!J32)/(-1*(duomenys!$D32-duomenys!$E32))),"")</f>
        <v/>
      </c>
      <c r="F20" t="str">
        <f>IF(duomenys!K32&lt;&gt;"",duomenys!$A32*((duomenys!$E32-duomenys!K32)/(-1*(duomenys!$D32-duomenys!$E32))),"")</f>
        <v/>
      </c>
      <c r="G20" t="str">
        <f>IF(duomenys!L32&lt;&gt;"",duomenys!$A32*((duomenys!$E32-duomenys!L32)/(-1*(duomenys!$D32-duomenys!$E32))),"")</f>
        <v/>
      </c>
      <c r="H20" t="str">
        <f>IF(duomenys!M32&lt;&gt;"",duomenys!$A32*((duomenys!$E32-duomenys!M32)/(-1*(duomenys!$D32-duomenys!$E32))),"")</f>
        <v/>
      </c>
      <c r="I20" t="str">
        <f>IF(duomenys!N32&lt;&gt;"",duomenys!$A32*((duomenys!$E32-duomenys!N32)/(-1*(duomenys!$D32-duomenys!$E32))),"")</f>
        <v/>
      </c>
      <c r="J20" t="str">
        <f>IF(duomenys!O32&lt;&gt;"",duomenys!$A32*((duomenys!$E32-duomenys!O32)/(-1*(duomenys!$D32-duomenys!$E32))),"")</f>
        <v/>
      </c>
    </row>
    <row r="21" spans="1:10" x14ac:dyDescent="0.25">
      <c r="A21" t="str">
        <f>IF(duomenys!F33&lt;&gt;"",duomenys!$A33*((duomenys!$E33-duomenys!F33)/(-1*(duomenys!$D33-duomenys!$E33))),"")</f>
        <v/>
      </c>
      <c r="B21" t="str">
        <f>IF(duomenys!G33&lt;&gt;"",duomenys!$A33*((duomenys!$E33-duomenys!G33)/(-1*(duomenys!$D33-duomenys!$E33))),"")</f>
        <v/>
      </c>
      <c r="C21" t="str">
        <f>IF(duomenys!H33&lt;&gt;"",duomenys!$A33*((duomenys!$E33-duomenys!H33)/(-1*(duomenys!$D33-duomenys!$E33))),"")</f>
        <v/>
      </c>
      <c r="D21" t="str">
        <f>IF(duomenys!I33&lt;&gt;"",duomenys!$A33*((duomenys!$E33-duomenys!I33)/(-1*(duomenys!$D33-duomenys!$E33))),"")</f>
        <v/>
      </c>
      <c r="E21" t="str">
        <f>IF(duomenys!J33&lt;&gt;"",duomenys!$A33*((duomenys!$E33-duomenys!J33)/(-1*(duomenys!$D33-duomenys!$E33))),"")</f>
        <v/>
      </c>
      <c r="F21" t="str">
        <f>IF(duomenys!K33&lt;&gt;"",duomenys!$A33*((duomenys!$E33-duomenys!K33)/(-1*(duomenys!$D33-duomenys!$E33))),"")</f>
        <v/>
      </c>
      <c r="G21" t="str">
        <f>IF(duomenys!L33&lt;&gt;"",duomenys!$A33*((duomenys!$E33-duomenys!L33)/(-1*(duomenys!$D33-duomenys!$E33))),"")</f>
        <v/>
      </c>
      <c r="H21" t="str">
        <f>IF(duomenys!M33&lt;&gt;"",duomenys!$A33*((duomenys!$E33-duomenys!M33)/(-1*(duomenys!$D33-duomenys!$E33))),"")</f>
        <v/>
      </c>
      <c r="I21" t="str">
        <f>IF(duomenys!N33&lt;&gt;"",duomenys!$A33*((duomenys!$E33-duomenys!N33)/(-1*(duomenys!$D33-duomenys!$E33))),"")</f>
        <v/>
      </c>
      <c r="J21" t="str">
        <f>IF(duomenys!O33&lt;&gt;"",duomenys!$A33*((duomenys!$E33-duomenys!O33)/(-1*(duomenys!$D33-duomenys!$E33))),"")</f>
        <v/>
      </c>
    </row>
    <row r="22" spans="1:10" x14ac:dyDescent="0.25">
      <c r="A22" t="str">
        <f>IF(duomenys!F34&lt;&gt;"",formules!$A72*((duomenys!$E34-duomenys!F34)/(-1*(duomenys!$D34-duomenys!$E34))),"")</f>
        <v/>
      </c>
      <c r="B22" t="str">
        <f>IF(duomenys!G34&lt;&gt;"",formules!$A72*((duomenys!$E34-duomenys!G34)/(-1*(duomenys!$D34-duomenys!$E34))),"")</f>
        <v/>
      </c>
      <c r="C22" t="str">
        <f>IF(duomenys!H34&lt;&gt;"",formules!$A72*((duomenys!$E34-duomenys!H34)/(-1*(duomenys!$D34-duomenys!$E34))),"")</f>
        <v/>
      </c>
      <c r="D22" t="str">
        <f>IF(duomenys!I34&lt;&gt;"",formules!$A72*((duomenys!$E34-duomenys!I34)/(-1*(duomenys!$D34-duomenys!$E34))),"")</f>
        <v/>
      </c>
      <c r="E22" t="str">
        <f>IF(duomenys!J34&lt;&gt;"",formules!$A72*((duomenys!$E34-duomenys!J34)/(-1*(duomenys!$D34-duomenys!$E34))),"")</f>
        <v/>
      </c>
      <c r="F22" t="str">
        <f>IF(duomenys!K34&lt;&gt;"",formules!$A72*((duomenys!$E34-duomenys!K34)/(-1*(duomenys!$D34-duomenys!$E34))),"")</f>
        <v/>
      </c>
      <c r="G22" t="str">
        <f>IF(duomenys!L34&lt;&gt;"",formules!$A72*((duomenys!$E34-duomenys!L34)/(-1*(duomenys!$D34-duomenys!$E34))),"")</f>
        <v/>
      </c>
      <c r="H22" t="str">
        <f>IF(duomenys!M34&lt;&gt;"",formules!$A72*((duomenys!$E34-duomenys!M34)/(-1*(duomenys!$D34-duomenys!$E34))),"")</f>
        <v/>
      </c>
      <c r="I22" t="str">
        <f>IF(duomenys!N34&lt;&gt;"",formules!$A72*((duomenys!$E34-duomenys!N34)/(-1*(duomenys!$D34-duomenys!$E34))),"")</f>
        <v/>
      </c>
      <c r="J22" t="str">
        <f>IF(duomenys!O34&lt;&gt;"",formules!$A72*((duomenys!$E34-duomenys!O34)/(-1*(duomenys!$D34-duomenys!$E34))),"")</f>
        <v/>
      </c>
    </row>
    <row r="23" spans="1:10" x14ac:dyDescent="0.25">
      <c r="A23" t="str">
        <f ca="1">IF(duomenys!F35&lt;&gt;"",duomenys!$A35*((duomenys!$E35-duomenys!F35)/(-1*(duomenys!$D35-duomenys!$E35))),"")</f>
        <v/>
      </c>
      <c r="B23" t="str">
        <f ca="1">IF(duomenys!G35&lt;&gt;"",duomenys!$A35*((duomenys!$E35-duomenys!G35)/(-1*(duomenys!$D35-duomenys!$E35))),"")</f>
        <v/>
      </c>
      <c r="C23" t="str">
        <f ca="1">IF(duomenys!H35&lt;&gt;"",duomenys!$A35*((duomenys!$E35-duomenys!H35)/(-1*(duomenys!$D35-duomenys!$E35))),"")</f>
        <v/>
      </c>
      <c r="D23" t="str">
        <f ca="1">IF(duomenys!I35&lt;&gt;"",duomenys!$A35*((duomenys!$E35-duomenys!I35)/(-1*(duomenys!$D35-duomenys!$E35))),"")</f>
        <v/>
      </c>
      <c r="E23" t="str">
        <f ca="1">IF(duomenys!J35&lt;&gt;"",duomenys!$A35*((duomenys!$E35-duomenys!J35)/(-1*(duomenys!$D35-duomenys!$E35))),"")</f>
        <v/>
      </c>
      <c r="F23" t="str">
        <f ca="1">IF(duomenys!K35&lt;&gt;"",duomenys!$A35*((duomenys!$E35-duomenys!K35)/(-1*(duomenys!$D35-duomenys!$E35))),"")</f>
        <v/>
      </c>
      <c r="G23" t="str">
        <f ca="1">IF(duomenys!L35&lt;&gt;"",duomenys!$A35*((duomenys!$E35-duomenys!L35)/(-1*(duomenys!$D35-duomenys!$E35))),"")</f>
        <v/>
      </c>
      <c r="H23" t="str">
        <f ca="1">IF(duomenys!M35&lt;&gt;"",duomenys!$A35*((duomenys!$E35-duomenys!M35)/(-1*(duomenys!$D35-duomenys!$E35))),"")</f>
        <v/>
      </c>
      <c r="I23" t="str">
        <f ca="1">IF(duomenys!N35&lt;&gt;"",duomenys!$A35*((duomenys!$E35-duomenys!N35)/(-1*(duomenys!$D35-duomenys!$E35))),"")</f>
        <v/>
      </c>
      <c r="J23" t="str">
        <f ca="1">IF(duomenys!O35&lt;&gt;"",duomenys!$A35*((duomenys!$E35-duomenys!O35)/(-1*(duomenys!$D35-duomenys!$E35))),"")</f>
        <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AFB57-FCC2-4678-8BD5-DCA45F1123F8}">
  <sheetPr codeName="Sheet9"/>
  <dimension ref="A1:J10"/>
  <sheetViews>
    <sheetView workbookViewId="0">
      <selection activeCell="D6" sqref="D6"/>
    </sheetView>
  </sheetViews>
  <sheetFormatPr defaultRowHeight="15" x14ac:dyDescent="0.25"/>
  <sheetData>
    <row r="1" spans="1:10" x14ac:dyDescent="0.25">
      <c r="A1" t="str">
        <f>IF(duomenys!$F12&lt;&gt;"",duomenys!$A12*(1-(duomenys!$E12-duomenys!F12)/(duomenys!$E12-duomenys!$D12)),"")</f>
        <v/>
      </c>
      <c r="B1" t="str">
        <f>IF(duomenys!$F12&lt;&gt;"",duomenys!$A12*(1-(duomenys!$E12-duomenys!G12)/(duomenys!$E12-duomenys!$D12)),"")</f>
        <v/>
      </c>
      <c r="C1" t="str">
        <f>IF(duomenys!$F12&lt;&gt;"",duomenys!$A12*(1-(duomenys!$E12-duomenys!H12)/(duomenys!$E12-duomenys!$D12)),"")</f>
        <v/>
      </c>
      <c r="D1" t="str">
        <f>IF(duomenys!$F12&lt;&gt;"",duomenys!$A12*(1-(duomenys!$E12-duomenys!I12)/(duomenys!$E12-duomenys!$D12)),"")</f>
        <v/>
      </c>
      <c r="E1" t="str">
        <f>IF(duomenys!$F12&lt;&gt;"",duomenys!$A12*(1-(duomenys!$E12-duomenys!J12)/(duomenys!$E12-duomenys!$D12)),"")</f>
        <v/>
      </c>
      <c r="F1" t="str">
        <f>IF(duomenys!$F12&lt;&gt;"",duomenys!$A12*(1-(duomenys!$E12-duomenys!K12)/(duomenys!$E12-duomenys!$D12)),"")</f>
        <v/>
      </c>
      <c r="G1" t="str">
        <f>IF(duomenys!$F12&lt;&gt;"",duomenys!$A12*(1-(duomenys!$E12-duomenys!L12)/(duomenys!$E12-duomenys!$D12)),"")</f>
        <v/>
      </c>
      <c r="H1" t="str">
        <f>IF(duomenys!$F12&lt;&gt;"",duomenys!$A12*(1-(duomenys!$E12-duomenys!M12)/(duomenys!$E12-duomenys!$D12)),"")</f>
        <v/>
      </c>
      <c r="I1" t="str">
        <f>IF(duomenys!$F12&lt;&gt;"",duomenys!$A12*(1-(duomenys!$E12-duomenys!N12)/(duomenys!$E12-duomenys!$D12)),"")</f>
        <v/>
      </c>
      <c r="J1" t="str">
        <f>IF(duomenys!$F12&lt;&gt;"",duomenys!$A12*(1-(duomenys!$E12-duomenys!O12)/(duomenys!$E12-duomenys!$D12)),"")</f>
        <v/>
      </c>
    </row>
    <row r="2" spans="1:10" x14ac:dyDescent="0.25">
      <c r="A2" t="str">
        <f>IF(duomenys!$F14&lt;&gt;"",duomenys!$A14*(1-(duomenys!$E14-duomenys!F14)/(duomenys!$E14-duomenys!$D14)),"")</f>
        <v/>
      </c>
      <c r="B2" t="str">
        <f>IF(duomenys!$F14&lt;&gt;"",duomenys!$A14*(1-(duomenys!$E14-duomenys!G14)/(duomenys!$E14-duomenys!$D14)),"")</f>
        <v/>
      </c>
      <c r="C2" t="str">
        <f>IF(duomenys!$F14&lt;&gt;"",duomenys!$A14*(1-(duomenys!$E14-duomenys!H14)/(duomenys!$E14-duomenys!$D14)),"")</f>
        <v/>
      </c>
      <c r="D2" t="str">
        <f>IF(duomenys!$F14&lt;&gt;"",duomenys!$A14*(1-(duomenys!$E14-duomenys!I14)/(duomenys!$E14-duomenys!$D14)),"")</f>
        <v/>
      </c>
      <c r="E2" t="str">
        <f>IF(duomenys!$F14&lt;&gt;"",duomenys!$A14*(1-(duomenys!$E14-duomenys!J14)/(duomenys!$E14-duomenys!$D14)),"")</f>
        <v/>
      </c>
      <c r="F2" t="str">
        <f>IF(duomenys!$F14&lt;&gt;"",duomenys!$A14*(1-(duomenys!$E14-duomenys!K14)/(duomenys!$E14-duomenys!$D14)),"")</f>
        <v/>
      </c>
      <c r="G2" t="str">
        <f>IF(duomenys!$F14&lt;&gt;"",duomenys!$A14*(1-(duomenys!$E14-duomenys!L14)/(duomenys!$E14-duomenys!$D14)),"")</f>
        <v/>
      </c>
      <c r="H2" t="str">
        <f>IF(duomenys!$F14&lt;&gt;"",duomenys!$A14*(1-(duomenys!$E14-duomenys!M14)/(duomenys!$E14-duomenys!$D14)),"")</f>
        <v/>
      </c>
      <c r="I2" t="str">
        <f>IF(duomenys!$F14&lt;&gt;"",duomenys!$A14*(1-(duomenys!$E14-duomenys!N14)/(duomenys!$E14-duomenys!$D14)),"")</f>
        <v/>
      </c>
      <c r="J2" t="str">
        <f>IF(duomenys!$F14&lt;&gt;"",duomenys!$A14*(1-(duomenys!$E14-duomenys!O14)/(duomenys!$E14-duomenys!$D14)),"")</f>
        <v/>
      </c>
    </row>
    <row r="3" spans="1:10" x14ac:dyDescent="0.25">
      <c r="A3" t="str">
        <f>IF(duomenys!$F16&lt;&gt;"",duomenys!$A16*(1-(duomenys!$E16-duomenys!F16)/(duomenys!$E16-duomenys!$D16)),"")</f>
        <v/>
      </c>
      <c r="B3" t="str">
        <f>IF(duomenys!$F16&lt;&gt;"",duomenys!$A16*(1-(duomenys!$E16-duomenys!G16)/(duomenys!$E16-duomenys!$D16)),"")</f>
        <v/>
      </c>
      <c r="C3" t="str">
        <f>IF(duomenys!$F16&lt;&gt;"",duomenys!$A16*(1-(duomenys!$E16-duomenys!H16)/(duomenys!$E16-duomenys!$D16)),"")</f>
        <v/>
      </c>
      <c r="D3" t="str">
        <f>IF(duomenys!$F16&lt;&gt;"",duomenys!$A16*(1-(duomenys!$E16-duomenys!I16)/(duomenys!$E16-duomenys!$D16)),"")</f>
        <v/>
      </c>
      <c r="E3" t="str">
        <f>IF(duomenys!$F16&lt;&gt;"",duomenys!$A16*(1-(duomenys!$E16-duomenys!J16)/(duomenys!$E16-duomenys!$D16)),"")</f>
        <v/>
      </c>
      <c r="F3" t="str">
        <f>IF(duomenys!$F16&lt;&gt;"",duomenys!$A16*(1-(duomenys!$E16-duomenys!K16)/(duomenys!$E16-duomenys!$D16)),"")</f>
        <v/>
      </c>
      <c r="G3" t="str">
        <f>IF(duomenys!$F16&lt;&gt;"",duomenys!$A16*(1-(duomenys!$E16-duomenys!L16)/(duomenys!$E16-duomenys!$D16)),"")</f>
        <v/>
      </c>
      <c r="H3" t="str">
        <f>IF(duomenys!$F16&lt;&gt;"",duomenys!$A16*(1-(duomenys!$E16-duomenys!M16)/(duomenys!$E16-duomenys!$D16)),"")</f>
        <v/>
      </c>
      <c r="I3" t="str">
        <f>IF(duomenys!$F16&lt;&gt;"",duomenys!$A16*(1-(duomenys!$E16-duomenys!N16)/(duomenys!$E16-duomenys!$D16)),"")</f>
        <v/>
      </c>
      <c r="J3" t="str">
        <f>IF(duomenys!$F16&lt;&gt;"",duomenys!$A16*(1-(duomenys!$E16-duomenys!O16)/(duomenys!$E16-duomenys!$D16)),"")</f>
        <v/>
      </c>
    </row>
    <row r="4" spans="1:10" x14ac:dyDescent="0.25">
      <c r="A4" t="str">
        <f>IF(duomenys!$F18&lt;&gt;"",duomenys!$A18*(1-(duomenys!$E18-duomenys!F18)/(duomenys!$E18-duomenys!$D18)),"")</f>
        <v/>
      </c>
      <c r="B4" t="str">
        <f>IF(duomenys!$F18&lt;&gt;"",duomenys!$A18*(1-(duomenys!$E18-duomenys!G18)/(duomenys!$E18-duomenys!$D18)),"")</f>
        <v/>
      </c>
      <c r="C4" t="str">
        <f>IF(duomenys!$F18&lt;&gt;"",duomenys!$A18*(1-(duomenys!$E18-duomenys!H18)/(duomenys!$E18-duomenys!$D18)),"")</f>
        <v/>
      </c>
      <c r="D4" t="str">
        <f>IF(duomenys!$F18&lt;&gt;"",duomenys!$A18*(1-(duomenys!$E18-duomenys!I18)/(duomenys!$E18-duomenys!$D18)),"")</f>
        <v/>
      </c>
      <c r="E4" t="str">
        <f>IF(duomenys!$F18&lt;&gt;"",duomenys!$A18*(1-(duomenys!$E18-duomenys!J18)/(duomenys!$E18-duomenys!$D18)),"")</f>
        <v/>
      </c>
      <c r="F4" t="str">
        <f>IF(duomenys!$F18&lt;&gt;"",duomenys!$A18*(1-(duomenys!$E18-duomenys!K18)/(duomenys!$E18-duomenys!$D18)),"")</f>
        <v/>
      </c>
      <c r="G4" t="str">
        <f>IF(duomenys!$F18&lt;&gt;"",duomenys!$A18*(1-(duomenys!$E18-duomenys!L18)/(duomenys!$E18-duomenys!$D18)),"")</f>
        <v/>
      </c>
      <c r="H4" t="str">
        <f>IF(duomenys!$F18&lt;&gt;"",duomenys!$A18*(1-(duomenys!$E18-duomenys!M18)/(duomenys!$E18-duomenys!$D18)),"")</f>
        <v/>
      </c>
      <c r="I4" t="str">
        <f>IF(duomenys!$F18&lt;&gt;"",duomenys!$A18*(1-(duomenys!$E18-duomenys!N18)/(duomenys!$E18-duomenys!$D18)),"")</f>
        <v/>
      </c>
      <c r="J4" t="str">
        <f>IF(duomenys!$F18&lt;&gt;"",duomenys!$A18*(1-(duomenys!$E18-duomenys!O18)/(duomenys!$E18-duomenys!$D18)),"")</f>
        <v/>
      </c>
    </row>
    <row r="5" spans="1:10" x14ac:dyDescent="0.25">
      <c r="A5" t="str">
        <f>IF(duomenys!$F20&lt;&gt;"",duomenys!$A20*(1-(duomenys!$E20-duomenys!F20)/(duomenys!$E20-duomenys!$D20)),"")</f>
        <v/>
      </c>
      <c r="B5" t="str">
        <f>IF(duomenys!$F20&lt;&gt;"",duomenys!$A20*(1-(duomenys!$E20-duomenys!G20)/(duomenys!$E20-duomenys!$D20)),"")</f>
        <v/>
      </c>
      <c r="C5" t="str">
        <f>IF(duomenys!$F20&lt;&gt;"",duomenys!$A20*(1-(duomenys!$E20-duomenys!H20)/(duomenys!$E20-duomenys!$D20)),"")</f>
        <v/>
      </c>
      <c r="D5" t="str">
        <f>IF(duomenys!$F20&lt;&gt;"",duomenys!$A20*(1-(duomenys!$E20-duomenys!I20)/(duomenys!$E20-duomenys!$D20)),"")</f>
        <v/>
      </c>
      <c r="E5" t="str">
        <f>IF(duomenys!$F20&lt;&gt;"",duomenys!$A20*(1-(duomenys!$E20-duomenys!J20)/(duomenys!$E20-duomenys!$D20)),"")</f>
        <v/>
      </c>
      <c r="F5" t="str">
        <f>IF(duomenys!$F20&lt;&gt;"",duomenys!$A20*(1-(duomenys!$E20-duomenys!K20)/(duomenys!$E20-duomenys!$D20)),"")</f>
        <v/>
      </c>
      <c r="G5" t="str">
        <f>IF(duomenys!$F20&lt;&gt;"",duomenys!$A20*(1-(duomenys!$E20-duomenys!L20)/(duomenys!$E20-duomenys!$D20)),"")</f>
        <v/>
      </c>
      <c r="H5" t="str">
        <f>IF(duomenys!$F20&lt;&gt;"",duomenys!$A20*(1-(duomenys!$E20-duomenys!M20)/(duomenys!$E20-duomenys!$D20)),"")</f>
        <v/>
      </c>
      <c r="I5" t="str">
        <f>IF(duomenys!$F20&lt;&gt;"",duomenys!$A20*(1-(duomenys!$E20-duomenys!N20)/(duomenys!$E20-duomenys!$D20)),"")</f>
        <v/>
      </c>
      <c r="J5" t="str">
        <f>IF(duomenys!$F20&lt;&gt;"",duomenys!$A20*(1-(duomenys!$E20-duomenys!O20)/(duomenys!$E20-duomenys!$D20)),"")</f>
        <v/>
      </c>
    </row>
    <row r="6" spans="1:10" x14ac:dyDescent="0.25">
      <c r="A6" t="str">
        <f>IF(duomenys!$F22&lt;&gt;"",duomenys!$A22*(1-(duomenys!$E22-duomenys!F22)/(duomenys!$E22-duomenys!$D22)),"")</f>
        <v/>
      </c>
      <c r="B6" t="str">
        <f>IF(duomenys!$F22&lt;&gt;"",duomenys!$A22*(1-(duomenys!$E22-duomenys!G22)/(duomenys!$E22-duomenys!$D22)),"")</f>
        <v/>
      </c>
      <c r="C6" t="str">
        <f>IF(duomenys!$F22&lt;&gt;"",duomenys!$A22*(1-(duomenys!$E22-duomenys!H22)/(duomenys!$E22-duomenys!$D22)),"")</f>
        <v/>
      </c>
      <c r="D6" t="str">
        <f>IF(duomenys!$F22&lt;&gt;"",duomenys!$A22*(1-(duomenys!$E22-duomenys!I22)/(duomenys!$E22-duomenys!$D22)),"")</f>
        <v/>
      </c>
      <c r="E6" t="str">
        <f>IF(duomenys!$F22&lt;&gt;"",duomenys!$A22*(1-(duomenys!$E22-duomenys!J22)/(duomenys!$E22-duomenys!$D22)),"")</f>
        <v/>
      </c>
      <c r="F6" t="str">
        <f>IF(duomenys!$F22&lt;&gt;"",duomenys!$A22*(1-(duomenys!$E22-duomenys!K22)/(duomenys!$E22-duomenys!$D22)),"")</f>
        <v/>
      </c>
      <c r="G6" t="str">
        <f>IF(duomenys!$F22&lt;&gt;"",duomenys!$A22*(1-(duomenys!$E22-duomenys!L22)/(duomenys!$E22-duomenys!$D22)),"")</f>
        <v/>
      </c>
      <c r="H6" t="str">
        <f>IF(duomenys!$F22&lt;&gt;"",duomenys!$A22*(1-(duomenys!$E22-duomenys!M22)/(duomenys!$E22-duomenys!$D22)),"")</f>
        <v/>
      </c>
      <c r="I6" t="str">
        <f>IF(duomenys!$F22&lt;&gt;"",duomenys!$A22*(1-(duomenys!$E22-duomenys!N22)/(duomenys!$E22-duomenys!$D22)),"")</f>
        <v/>
      </c>
      <c r="J6" t="str">
        <f>IF(duomenys!$F22&lt;&gt;"",duomenys!$A22*(1-(duomenys!$E22-duomenys!O22)/(duomenys!$E22-duomenys!$D22)),"")</f>
        <v/>
      </c>
    </row>
    <row r="7" spans="1:10" x14ac:dyDescent="0.25">
      <c r="A7" t="str">
        <f>IF(duomenys!$F24&lt;&gt;"",duomenys!$A24*(1-(duomenys!$E24-duomenys!F24)/(duomenys!$E24-duomenys!$D24)),"")</f>
        <v/>
      </c>
      <c r="B7" t="str">
        <f>IF(duomenys!$F24&lt;&gt;"",duomenys!$A24*(1-(duomenys!$E24-duomenys!G24)/(duomenys!$E24-duomenys!$D24)),"")</f>
        <v/>
      </c>
      <c r="C7" t="str">
        <f>IF(duomenys!$F24&lt;&gt;"",duomenys!$A24*(1-(duomenys!$E24-duomenys!H24)/(duomenys!$E24-duomenys!$D24)),"")</f>
        <v/>
      </c>
      <c r="D7" t="str">
        <f>IF(duomenys!$F24&lt;&gt;"",duomenys!$A24*(1-(duomenys!$E24-duomenys!I24)/(duomenys!$E24-duomenys!$D24)),"")</f>
        <v/>
      </c>
      <c r="E7" t="str">
        <f>IF(duomenys!$F24&lt;&gt;"",duomenys!$A24*(1-(duomenys!$E24-duomenys!J24)/(duomenys!$E24-duomenys!$D24)),"")</f>
        <v/>
      </c>
      <c r="F7" t="str">
        <f>IF(duomenys!$F24&lt;&gt;"",duomenys!$A24*(1-(duomenys!$E24-duomenys!K24)/(duomenys!$E24-duomenys!$D24)),"")</f>
        <v/>
      </c>
      <c r="G7" t="str">
        <f>IF(duomenys!$F24&lt;&gt;"",duomenys!$A24*(1-(duomenys!$E24-duomenys!L24)/(duomenys!$E24-duomenys!$D24)),"")</f>
        <v/>
      </c>
      <c r="H7" t="str">
        <f>IF(duomenys!$F24&lt;&gt;"",duomenys!$A24*(1-(duomenys!$E24-duomenys!M24)/(duomenys!$E24-duomenys!$D24)),"")</f>
        <v/>
      </c>
      <c r="I7" t="str">
        <f>IF(duomenys!$F24&lt;&gt;"",duomenys!$A24*(1-(duomenys!$E24-duomenys!N24)/(duomenys!$E24-duomenys!$D24)),"")</f>
        <v/>
      </c>
      <c r="J7" t="str">
        <f>IF(duomenys!$F24&lt;&gt;"",duomenys!$A24*(1-(duomenys!$E24-duomenys!O24)/(duomenys!$E24-duomenys!$D24)),"")</f>
        <v/>
      </c>
    </row>
    <row r="8" spans="1:10" x14ac:dyDescent="0.25">
      <c r="A8" t="str">
        <f>IF(duomenys!$F26&lt;&gt;"",duomenys!$A26*(1-(duomenys!$E26-duomenys!F26)/(duomenys!$E26-duomenys!$D26)),"")</f>
        <v/>
      </c>
      <c r="B8" t="str">
        <f>IF(duomenys!$F26&lt;&gt;"",duomenys!$A26*(1-(duomenys!$E26-duomenys!G26)/(duomenys!$E26-duomenys!$D26)),"")</f>
        <v/>
      </c>
      <c r="C8" t="str">
        <f>IF(duomenys!$F26&lt;&gt;"",duomenys!$A26*(1-(duomenys!$E26-duomenys!H26)/(duomenys!$E26-duomenys!$D26)),"")</f>
        <v/>
      </c>
      <c r="D8" t="str">
        <f>IF(duomenys!$F26&lt;&gt;"",duomenys!$A26*(1-(duomenys!$E26-duomenys!I26)/(duomenys!$E26-duomenys!$D26)),"")</f>
        <v/>
      </c>
      <c r="E8" t="str">
        <f>IF(duomenys!$F26&lt;&gt;"",duomenys!$A26*(1-(duomenys!$E26-duomenys!J26)/(duomenys!$E26-duomenys!$D26)),"")</f>
        <v/>
      </c>
      <c r="F8" t="str">
        <f>IF(duomenys!$F26&lt;&gt;"",duomenys!$A26*(1-(duomenys!$E26-duomenys!K26)/(duomenys!$E26-duomenys!$D26)),"")</f>
        <v/>
      </c>
      <c r="G8" t="str">
        <f>IF(duomenys!$F26&lt;&gt;"",duomenys!$A26*(1-(duomenys!$E26-duomenys!L26)/(duomenys!$E26-duomenys!$D26)),"")</f>
        <v/>
      </c>
      <c r="H8" t="str">
        <f>IF(duomenys!$F26&lt;&gt;"",duomenys!$A26*(1-(duomenys!$E26-duomenys!M26)/(duomenys!$E26-duomenys!$D26)),"")</f>
        <v/>
      </c>
      <c r="I8" t="str">
        <f>IF(duomenys!$F26&lt;&gt;"",duomenys!$A26*(1-(duomenys!$E26-duomenys!N26)/(duomenys!$E26-duomenys!$D26)),"")</f>
        <v/>
      </c>
      <c r="J8" t="str">
        <f>IF(duomenys!$F26&lt;&gt;"",duomenys!$A26*(1-(duomenys!$E26-duomenys!O26)/(duomenys!$E26-duomenys!$D26)),"")</f>
        <v/>
      </c>
    </row>
    <row r="9" spans="1:10" x14ac:dyDescent="0.25">
      <c r="A9" t="str">
        <f>IF(duomenys!$F28&lt;&gt;"",duomenys!$A28*(1-(duomenys!$E28-duomenys!F28)/(duomenys!$E28-duomenys!$D28)),"")</f>
        <v/>
      </c>
      <c r="B9" t="str">
        <f>IF(duomenys!$F28&lt;&gt;"",duomenys!$A28*(1-(duomenys!$E28-duomenys!G28)/(duomenys!$E28-duomenys!$D28)),"")</f>
        <v/>
      </c>
      <c r="C9" t="str">
        <f>IF(duomenys!$F28&lt;&gt;"",duomenys!$A28*(1-(duomenys!$E28-duomenys!H28)/(duomenys!$E28-duomenys!$D28)),"")</f>
        <v/>
      </c>
      <c r="D9" t="str">
        <f>IF(duomenys!$F28&lt;&gt;"",duomenys!$A28*(1-(duomenys!$E28-duomenys!I28)/(duomenys!$E28-duomenys!$D28)),"")</f>
        <v/>
      </c>
      <c r="E9" t="str">
        <f>IF(duomenys!$F28&lt;&gt;"",duomenys!$A28*(1-(duomenys!$E28-duomenys!J28)/(duomenys!$E28-duomenys!$D28)),"")</f>
        <v/>
      </c>
      <c r="F9" t="str">
        <f>IF(duomenys!$F28&lt;&gt;"",duomenys!$A28*(1-(duomenys!$E28-duomenys!K28)/(duomenys!$E28-duomenys!$D28)),"")</f>
        <v/>
      </c>
      <c r="G9" t="str">
        <f>IF(duomenys!$F28&lt;&gt;"",duomenys!$A28*(1-(duomenys!$E28-duomenys!L28)/(duomenys!$E28-duomenys!$D28)),"")</f>
        <v/>
      </c>
      <c r="H9" t="str">
        <f>IF(duomenys!$F28&lt;&gt;"",duomenys!$A28*(1-(duomenys!$E28-duomenys!M28)/(duomenys!$E28-duomenys!$D28)),"")</f>
        <v/>
      </c>
      <c r="I9" t="str">
        <f>IF(duomenys!$F28&lt;&gt;"",duomenys!$A28*(1-(duomenys!$E28-duomenys!N28)/(duomenys!$E28-duomenys!$D28)),"")</f>
        <v/>
      </c>
      <c r="J9" t="str">
        <f>IF(duomenys!$F28&lt;&gt;"",duomenys!$A28*(1-(duomenys!$E28-duomenys!O28)/(duomenys!$E28-duomenys!$D28)),"")</f>
        <v/>
      </c>
    </row>
    <row r="10" spans="1:10" x14ac:dyDescent="0.25">
      <c r="A10" t="str">
        <f>IF(duomenys!$F30&lt;&gt;"",duomenys!$A30*(1-(duomenys!$E30-duomenys!F30)/(duomenys!$E30-duomenys!$D30)),"")</f>
        <v/>
      </c>
      <c r="B10" t="str">
        <f>IF(duomenys!$F30&lt;&gt;"",duomenys!$A30*(1-(duomenys!$E30-duomenys!G30)/(duomenys!$E30-duomenys!$D30)),"")</f>
        <v/>
      </c>
      <c r="C10" t="str">
        <f>IF(duomenys!$F30&lt;&gt;"",duomenys!$A30*(1-(duomenys!$E30-duomenys!H30)/(duomenys!$E30-duomenys!$D30)),"")</f>
        <v/>
      </c>
      <c r="D10" t="str">
        <f>IF(duomenys!$F30&lt;&gt;"",duomenys!$A30*(1-(duomenys!$E30-duomenys!I30)/(duomenys!$E30-duomenys!$D30)),"")</f>
        <v/>
      </c>
      <c r="E10" t="str">
        <f>IF(duomenys!$F30&lt;&gt;"",duomenys!$A30*(1-(duomenys!$E30-duomenys!J30)/(duomenys!$E30-duomenys!$D30)),"")</f>
        <v/>
      </c>
      <c r="F10" t="str">
        <f>IF(duomenys!$F30&lt;&gt;"",duomenys!$A30*(1-(duomenys!$E30-duomenys!K30)/(duomenys!$E30-duomenys!$D30)),"")</f>
        <v/>
      </c>
      <c r="G10" t="str">
        <f>IF(duomenys!$F30&lt;&gt;"",duomenys!$A30*(1-(duomenys!$E30-duomenys!L30)/(duomenys!$E30-duomenys!$D30)),"")</f>
        <v/>
      </c>
      <c r="H10" t="str">
        <f>IF(duomenys!$F30&lt;&gt;"",duomenys!$A30*(1-(duomenys!$E30-duomenys!M30)/(duomenys!$E30-duomenys!$D30)),"")</f>
        <v/>
      </c>
      <c r="I10" t="str">
        <f>IF(duomenys!$F30&lt;&gt;"",duomenys!$A30*(1-(duomenys!$E30-duomenys!N30)/(duomenys!$E30-duomenys!$D30)),"")</f>
        <v/>
      </c>
      <c r="J10" t="str">
        <f>IF(duomenys!$F30&lt;&gt;"",duomenys!$A30*(1-(duomenys!$E30-duomenys!O30)/(duomenys!$E30-duomenys!$D30)),"")</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43B1-44D2-4085-AB37-D123164D79ED}">
  <sheetPr codeName="Sheet11"/>
  <dimension ref="A1:A2"/>
  <sheetViews>
    <sheetView workbookViewId="0">
      <selection activeCell="A2" sqref="A2"/>
    </sheetView>
  </sheetViews>
  <sheetFormatPr defaultRowHeight="15" x14ac:dyDescent="0.25"/>
  <cols>
    <col min="1" max="1" width="22" bestFit="1" customWidth="1"/>
  </cols>
  <sheetData>
    <row r="1" spans="1:1" x14ac:dyDescent="0.25">
      <c r="A1" t="s">
        <v>11</v>
      </c>
    </row>
    <row r="2" spans="1:1" x14ac:dyDescent="0.25">
      <c r="A2" t="s">
        <v>12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13E77-8012-4F70-B08B-EDA7C6E9D03E}">
  <sheetPr codeName="Sheet1">
    <pageSetUpPr fitToPage="1"/>
  </sheetPr>
  <dimension ref="A1:AL64"/>
  <sheetViews>
    <sheetView showGridLines="0" showRowColHeaders="0" tabSelected="1" zoomScale="110" zoomScaleNormal="110" workbookViewId="0">
      <selection activeCell="E12" sqref="E12:E13"/>
    </sheetView>
  </sheetViews>
  <sheetFormatPr defaultColWidth="9.140625" defaultRowHeight="15" outlineLevelRow="1" outlineLevelCol="1" x14ac:dyDescent="0.25"/>
  <cols>
    <col min="1" max="1" width="10" style="45" customWidth="1"/>
    <col min="2" max="2" width="14.85546875" style="45" customWidth="1"/>
    <col min="3" max="3" width="28.85546875" style="45" customWidth="1"/>
    <col min="4" max="5" width="12.5703125" style="45" customWidth="1"/>
    <col min="6" max="11" width="13.5703125" style="45" customWidth="1"/>
    <col min="12" max="15" width="13.5703125" style="45" hidden="1" customWidth="1" outlineLevel="1"/>
    <col min="16" max="16" width="42.85546875" style="45" customWidth="1" collapsed="1"/>
    <col min="17" max="19" width="9.140625" style="45" customWidth="1"/>
    <col min="20" max="20" width="14" style="45" customWidth="1"/>
    <col min="21" max="29" width="9.140625" style="45" customWidth="1"/>
    <col min="30" max="30" width="9.7109375" style="153" customWidth="1"/>
    <col min="31" max="31" width="10.5703125" style="153" customWidth="1"/>
    <col min="32" max="32" width="9.140625" style="153" customWidth="1"/>
    <col min="33" max="35" width="9.140625" style="45" customWidth="1"/>
    <col min="36" max="36" width="17" style="45" customWidth="1"/>
    <col min="37" max="37" width="17.5703125" style="45" customWidth="1"/>
    <col min="38" max="38" width="9.140625" style="117" customWidth="1"/>
    <col min="39" max="48" width="9.140625" style="45" customWidth="1"/>
    <col min="49" max="274" width="9.140625" style="45"/>
    <col min="275" max="275" width="9.140625" style="45" customWidth="1"/>
    <col min="276" max="16384" width="9.140625" style="45"/>
  </cols>
  <sheetData>
    <row r="1" spans="1:17" ht="4.5" customHeight="1" x14ac:dyDescent="0.25"/>
    <row r="2" spans="1:17" hidden="1" outlineLevel="1" x14ac:dyDescent="0.25">
      <c r="A2" s="43" t="str">
        <f>CONCATENATE("Kaina: ",WP," Kokybė: ",100-WP)</f>
        <v>Kaina: 92 Kokybė: 8</v>
      </c>
      <c r="B2" s="44" t="str">
        <f>IF(VLOOKUP($C$11,formules!$A$2:$AE81,31,FALSE)=1,"Formulei būtina nurodyti maksimalią kainą","")</f>
        <v>Formulei būtina nurodyti maksimalią kainą</v>
      </c>
      <c r="C2" s="43"/>
      <c r="D2" s="181"/>
      <c r="E2" s="181"/>
      <c r="F2" s="188"/>
      <c r="G2" s="181"/>
      <c r="H2" s="181"/>
      <c r="I2" s="181"/>
      <c r="J2" s="181"/>
      <c r="K2" s="181"/>
      <c r="L2" s="181"/>
      <c r="M2" s="181"/>
      <c r="N2" s="181"/>
      <c r="P2" s="43"/>
    </row>
    <row r="3" spans="1:17" ht="45" hidden="1" customHeight="1" outlineLevel="1" x14ac:dyDescent="0.25">
      <c r="A3" s="43"/>
      <c r="B3" s="44" t="str">
        <f>IF(VLOOKUP($C$11,formules!$A$2:$AE81,30,FALSE)=1,"Laimi mažiausiai balų surinkęs pasiūlymas","")</f>
        <v/>
      </c>
      <c r="C3" s="43"/>
      <c r="D3" s="182"/>
      <c r="E3" s="182"/>
      <c r="F3" s="189"/>
      <c r="G3" s="182"/>
      <c r="H3" s="182"/>
      <c r="I3" s="182"/>
      <c r="J3" s="182"/>
      <c r="K3" s="182"/>
      <c r="L3" s="182"/>
      <c r="M3" s="182"/>
      <c r="N3" s="182"/>
      <c r="P3" s="43" t="s">
        <v>13</v>
      </c>
    </row>
    <row r="4" spans="1:17" hidden="1" outlineLevel="1" x14ac:dyDescent="0.25">
      <c r="A4" s="43"/>
      <c r="B4" s="43"/>
      <c r="C4" s="43"/>
      <c r="D4" s="183"/>
      <c r="E4" s="183"/>
      <c r="F4" s="190"/>
      <c r="G4" s="183"/>
      <c r="H4" s="183"/>
      <c r="I4" s="183"/>
      <c r="J4" s="183"/>
      <c r="K4" s="183"/>
      <c r="L4" s="183"/>
      <c r="M4" s="183"/>
      <c r="N4" s="183"/>
      <c r="P4" s="43" t="s">
        <v>14</v>
      </c>
    </row>
    <row r="5" spans="1:17" hidden="1" outlineLevel="1" x14ac:dyDescent="0.25">
      <c r="D5" s="17"/>
      <c r="E5" s="17"/>
      <c r="F5" s="17"/>
      <c r="G5" s="46" t="s">
        <v>15</v>
      </c>
      <c r="H5" s="47"/>
      <c r="I5" s="48" t="str">
        <f>VLOOKUP($C$11,formules!$A$2:$AE79,24,FALSE)</f>
        <v>N/A</v>
      </c>
      <c r="J5" s="48" t="str">
        <f>VLOOKUP($C$11,formules!$A$2:$AE79,25,FALSE)</f>
        <v>N/A</v>
      </c>
      <c r="K5" s="48" t="str">
        <f>VLOOKUP($C$11,formules!$A$2:$AE79,26,FALSE)</f>
        <v>N/A</v>
      </c>
      <c r="L5" s="48">
        <f>VLOOKUP($C$11,formules!$A$2:$AE79,27,FALSE)</f>
        <v>0</v>
      </c>
      <c r="M5" s="48">
        <f>VLOOKUP($C$11,formules!$A$2:$AE79,28,FALSE)</f>
        <v>0</v>
      </c>
      <c r="N5" s="48" t="str">
        <f>VLOOKUP($C$11,formules!$A$2:$AE79,29,FALSE)</f>
        <v>N/A</v>
      </c>
      <c r="P5" s="43"/>
    </row>
    <row r="6" spans="1:17" hidden="1" outlineLevel="1" x14ac:dyDescent="0.25">
      <c r="D6" s="17"/>
      <c r="E6" s="17"/>
      <c r="F6" s="17"/>
      <c r="G6" s="46" t="s">
        <v>16</v>
      </c>
      <c r="H6" s="47"/>
      <c r="I6" s="47"/>
      <c r="J6" s="47"/>
      <c r="K6" s="47"/>
      <c r="L6" s="48">
        <f>VLOOKUP($C$11,formules!$A$2:$AN79,39,FALSE)</f>
        <v>0</v>
      </c>
      <c r="M6" s="48">
        <f>VLOOKUP($C$11,formules!$A$2:$AN79,40,FALSE)</f>
        <v>0</v>
      </c>
      <c r="N6" s="47"/>
      <c r="P6" s="43"/>
    </row>
    <row r="7" spans="1:17" collapsed="1" x14ac:dyDescent="0.25">
      <c r="F7" s="43">
        <f>VLOOKUP($C$11,formules!$A$2:$AE81,21,FALSE)</f>
        <v>2</v>
      </c>
      <c r="G7" s="43">
        <f>VLOOKUP($C$11,formules!$A$2:$AE81,22,FALSE)</f>
        <v>2</v>
      </c>
      <c r="H7" s="43">
        <f>VLOOKUP($C$11,formules!$A$2:$AE81,23,FALSE)</f>
        <v>1</v>
      </c>
      <c r="I7" s="49"/>
      <c r="J7" s="49"/>
      <c r="K7" s="49"/>
      <c r="L7" s="49"/>
      <c r="M7" s="49"/>
      <c r="N7" s="49"/>
      <c r="P7" s="43"/>
    </row>
    <row r="8" spans="1:17" ht="10.5" customHeight="1" x14ac:dyDescent="0.25">
      <c r="F8" s="50"/>
      <c r="P8" s="43"/>
    </row>
    <row r="9" spans="1:17" ht="22.5" customHeight="1" thickBot="1" x14ac:dyDescent="0.3">
      <c r="A9" s="43"/>
      <c r="B9" s="43"/>
      <c r="C9" s="43"/>
      <c r="D9" s="43"/>
      <c r="E9" s="43"/>
    </row>
    <row r="10" spans="1:17" ht="23.25" customHeight="1" thickBot="1" x14ac:dyDescent="0.3">
      <c r="A10" s="124" t="str">
        <f>IF(formules!$A$72="ne","Maks. balų","Svoris")</f>
        <v>Svoris</v>
      </c>
      <c r="B10" s="125" t="s">
        <v>17</v>
      </c>
      <c r="C10" s="125" t="s">
        <v>18</v>
      </c>
      <c r="D10" s="125" t="s">
        <v>19</v>
      </c>
      <c r="E10" s="125" t="s">
        <v>20</v>
      </c>
      <c r="F10" s="126" t="s">
        <v>21</v>
      </c>
      <c r="G10" s="126" t="s">
        <v>22</v>
      </c>
      <c r="H10" s="126" t="s">
        <v>23</v>
      </c>
      <c r="I10" s="126" t="s">
        <v>24</v>
      </c>
      <c r="J10" s="126" t="s">
        <v>25</v>
      </c>
      <c r="K10" s="126" t="s">
        <v>26</v>
      </c>
      <c r="L10" s="126" t="s">
        <v>27</v>
      </c>
      <c r="M10" s="126" t="s">
        <v>28</v>
      </c>
      <c r="N10" s="126" t="s">
        <v>29</v>
      </c>
      <c r="O10" s="129" t="s">
        <v>30</v>
      </c>
      <c r="P10" s="145"/>
    </row>
    <row r="11" spans="1:17" ht="48" customHeight="1" x14ac:dyDescent="0.25">
      <c r="A11" s="142">
        <v>92</v>
      </c>
      <c r="B11" s="144" t="s">
        <v>31</v>
      </c>
      <c r="C11" s="143" t="s">
        <v>32</v>
      </c>
      <c r="D11" s="122">
        <v>0</v>
      </c>
      <c r="E11" s="157">
        <v>3313569</v>
      </c>
      <c r="F11" s="123"/>
      <c r="G11" s="123"/>
      <c r="H11" s="123"/>
      <c r="I11" s="123"/>
      <c r="J11" s="123"/>
      <c r="K11" s="123"/>
      <c r="L11" s="123"/>
      <c r="M11" s="123"/>
      <c r="N11" s="123"/>
      <c r="O11" s="123"/>
      <c r="P11" s="146"/>
      <c r="Q11" s="118"/>
    </row>
    <row r="12" spans="1:17" ht="21.75" customHeight="1" x14ac:dyDescent="0.25">
      <c r="A12" s="170">
        <v>2</v>
      </c>
      <c r="B12" s="172" t="s">
        <v>33</v>
      </c>
      <c r="C12" s="177" t="s">
        <v>34</v>
      </c>
      <c r="D12" s="162">
        <v>0</v>
      </c>
      <c r="E12" s="162">
        <v>10</v>
      </c>
      <c r="F12" s="40"/>
      <c r="G12" s="40"/>
      <c r="H12" s="40"/>
      <c r="I12" s="40"/>
      <c r="J12" s="40"/>
      <c r="K12" s="40"/>
      <c r="L12" s="40"/>
      <c r="M12" s="40"/>
      <c r="N12" s="40"/>
      <c r="O12" s="130"/>
      <c r="P12" s="185"/>
      <c r="Q12" s="43">
        <f>IFERROR(VLOOKUP(C12,formules!$A$52:$C$55,3,FALSE),0)</f>
        <v>4</v>
      </c>
    </row>
    <row r="13" spans="1:17" ht="21.75" customHeight="1" x14ac:dyDescent="0.25">
      <c r="A13" s="171"/>
      <c r="B13" s="173"/>
      <c r="C13" s="178"/>
      <c r="D13" s="163"/>
      <c r="E13" s="163"/>
      <c r="F13" s="51" t="str">
        <f ca="1">IF(AND($A12&lt;&gt;"",$C12&lt;&gt;""),INDIRECT(VLOOKUP($C12,formules!$A$49:$C$59,3,FALSE)&amp;"!"&amp;matrix!A1),"")</f>
        <v/>
      </c>
      <c r="G13" s="51" t="str">
        <f ca="1">IF(AND($A12&lt;&gt;"",$C12&lt;&gt;""),INDIRECT(VLOOKUP($C12,formules!$A$49:$C$59,3,FALSE)&amp;"!"&amp;matrix!B1),"")</f>
        <v/>
      </c>
      <c r="H13" s="51" t="str">
        <f ca="1">IF(AND($A12&lt;&gt;"",$C12&lt;&gt;""),INDIRECT(VLOOKUP($C12,formules!$A$49:$C$59,3,FALSE)&amp;"!"&amp;matrix!C1),"")</f>
        <v/>
      </c>
      <c r="I13" s="51" t="str">
        <f ca="1">IF(AND($A12&lt;&gt;"",$C12&lt;&gt;""),INDIRECT(VLOOKUP($C12,formules!$A$49:$C$59,3,FALSE)&amp;"!"&amp;matrix!D1),"")</f>
        <v/>
      </c>
      <c r="J13" s="51" t="str">
        <f ca="1">IF(AND($A12&lt;&gt;"",$C12&lt;&gt;""),INDIRECT(VLOOKUP($C12,formules!$A$49:$C$59,3,FALSE)&amp;"!"&amp;matrix!E1),"")</f>
        <v/>
      </c>
      <c r="K13" s="51" t="str">
        <f ca="1">IF(AND($A12&lt;&gt;"",$C12&lt;&gt;""),INDIRECT(VLOOKUP($C12,formules!$A$49:$C$59,3,FALSE)&amp;"!"&amp;matrix!F1),"")</f>
        <v/>
      </c>
      <c r="L13" s="51" t="str">
        <f ca="1">IF(AND($A12&lt;&gt;"",$C12&lt;&gt;""),INDIRECT(VLOOKUP($C12,formules!$A$49:$C$59,3,FALSE)&amp;"!"&amp;matrix!G1),"")</f>
        <v/>
      </c>
      <c r="M13" s="51" t="str">
        <f ca="1">IF(AND($A12&lt;&gt;"",$C12&lt;&gt;""),INDIRECT(VLOOKUP($C12,formules!$A$49:$C$59,3,FALSE)&amp;"!"&amp;matrix!H1),"")</f>
        <v/>
      </c>
      <c r="N13" s="51" t="str">
        <f ca="1">IF(AND($A12&lt;&gt;"",$C12&lt;&gt;""),INDIRECT(VLOOKUP($C12,formules!$A$49:$C$59,3,FALSE)&amp;"!"&amp;matrix!I1),"")</f>
        <v/>
      </c>
      <c r="O13" s="131" t="str">
        <f ca="1">IF(AND($A12&lt;&gt;"",$C12&lt;&gt;""),INDIRECT(VLOOKUP($C12,formules!$A$49:$C$59,3,FALSE)&amp;"!"&amp;matrix!J1),"")</f>
        <v/>
      </c>
      <c r="P13" s="185"/>
      <c r="Q13" s="43"/>
    </row>
    <row r="14" spans="1:17" ht="21.75" customHeight="1" x14ac:dyDescent="0.25">
      <c r="A14" s="170">
        <v>2.5</v>
      </c>
      <c r="B14" s="172" t="s">
        <v>35</v>
      </c>
      <c r="C14" s="177" t="s">
        <v>34</v>
      </c>
      <c r="D14" s="162"/>
      <c r="E14" s="162"/>
      <c r="F14" s="40"/>
      <c r="G14" s="40"/>
      <c r="H14" s="40"/>
      <c r="I14" s="40"/>
      <c r="J14" s="40"/>
      <c r="K14" s="40"/>
      <c r="L14" s="40"/>
      <c r="M14" s="40"/>
      <c r="N14" s="40"/>
      <c r="O14" s="130"/>
      <c r="P14" s="146"/>
      <c r="Q14" s="43">
        <f>IFERROR(VLOOKUP(C14,formules!$A$52:$C$55,3,FALSE),0)</f>
        <v>4</v>
      </c>
    </row>
    <row r="15" spans="1:17" ht="21.75" customHeight="1" x14ac:dyDescent="0.25">
      <c r="A15" s="171"/>
      <c r="B15" s="173"/>
      <c r="C15" s="178"/>
      <c r="D15" s="163"/>
      <c r="E15" s="163"/>
      <c r="F15" s="51" t="str">
        <f ca="1">IF(AND($A14&lt;&gt;"",$C14&lt;&gt;""),INDIRECT(VLOOKUP($C14,formules!$A$49:$C$59,3,FALSE)&amp;"!"&amp;matrix!A2),"")</f>
        <v/>
      </c>
      <c r="G15" s="51" t="str">
        <f ca="1">IF(AND($A14&lt;&gt;"",$C14&lt;&gt;""),INDIRECT(VLOOKUP($C14,formules!$A$49:$C$59,3,FALSE)&amp;"!"&amp;matrix!B2),"")</f>
        <v/>
      </c>
      <c r="H15" s="51" t="str">
        <f ca="1">IF(AND($A14&lt;&gt;"",$C14&lt;&gt;""),INDIRECT(VLOOKUP($C14,formules!$A$49:$C$59,3,FALSE)&amp;"!"&amp;matrix!C2),"")</f>
        <v/>
      </c>
      <c r="I15" s="51" t="str">
        <f ca="1">IF(AND($A14&lt;&gt;"",$C14&lt;&gt;""),INDIRECT(VLOOKUP($C14,formules!$A$49:$C$59,3,FALSE)&amp;"!"&amp;matrix!D2),"")</f>
        <v/>
      </c>
      <c r="J15" s="51" t="str">
        <f ca="1">IF(AND($A14&lt;&gt;"",$C14&lt;&gt;""),INDIRECT(VLOOKUP($C14,formules!$A$49:$C$59,3,FALSE)&amp;"!"&amp;matrix!E2),"")</f>
        <v/>
      </c>
      <c r="K15" s="51" t="str">
        <f ca="1">IF(AND($A14&lt;&gt;"",$C14&lt;&gt;""),INDIRECT(VLOOKUP($C14,formules!$A$49:$C$59,3,FALSE)&amp;"!"&amp;matrix!F2),"")</f>
        <v/>
      </c>
      <c r="L15" s="51" t="str">
        <f ca="1">IF(AND($A14&lt;&gt;"",$C14&lt;&gt;""),INDIRECT(VLOOKUP($C14,formules!$A$49:$C$59,3,FALSE)&amp;"!"&amp;matrix!G2),"")</f>
        <v/>
      </c>
      <c r="M15" s="51" t="str">
        <f ca="1">IF(AND($A14&lt;&gt;"",$C14&lt;&gt;""),INDIRECT(VLOOKUP($C14,formules!$A$49:$C$59,3,FALSE)&amp;"!"&amp;matrix!H2),"")</f>
        <v/>
      </c>
      <c r="N15" s="51" t="str">
        <f ca="1">IF(AND($A14&lt;&gt;"",$C14&lt;&gt;""),INDIRECT(VLOOKUP($C14,formules!$A$49:$C$59,3,FALSE)&amp;"!"&amp;matrix!I2),"")</f>
        <v/>
      </c>
      <c r="O15" s="131" t="str">
        <f ca="1">IF(AND($A14&lt;&gt;"",$C14&lt;&gt;""),INDIRECT(VLOOKUP($C14,formules!$A$49:$C$59,3,FALSE)&amp;"!"&amp;matrix!J2),"")</f>
        <v/>
      </c>
      <c r="P15" s="146"/>
      <c r="Q15" s="43"/>
    </row>
    <row r="16" spans="1:17" ht="21.75" customHeight="1" x14ac:dyDescent="0.25">
      <c r="A16" s="170">
        <v>3</v>
      </c>
      <c r="B16" s="172" t="s">
        <v>36</v>
      </c>
      <c r="C16" s="177" t="s">
        <v>34</v>
      </c>
      <c r="D16" s="162"/>
      <c r="E16" s="162"/>
      <c r="F16" s="40"/>
      <c r="G16" s="40"/>
      <c r="H16" s="40"/>
      <c r="I16" s="40"/>
      <c r="J16" s="40"/>
      <c r="K16" s="40"/>
      <c r="L16" s="40"/>
      <c r="M16" s="40"/>
      <c r="N16" s="40"/>
      <c r="O16" s="130"/>
      <c r="P16" s="146"/>
      <c r="Q16" s="43">
        <f>IFERROR(VLOOKUP(C16,formules!$A$52:$C$55,3,FALSE),0)</f>
        <v>4</v>
      </c>
    </row>
    <row r="17" spans="1:17" ht="21.75" customHeight="1" x14ac:dyDescent="0.25">
      <c r="A17" s="171"/>
      <c r="B17" s="173"/>
      <c r="C17" s="178"/>
      <c r="D17" s="163"/>
      <c r="E17" s="163"/>
      <c r="F17" s="51" t="str">
        <f ca="1">IF(AND($A16&lt;&gt;"",$C16&lt;&gt;""),INDIRECT(VLOOKUP($C16,formules!$A$49:$C$59,3,FALSE)&amp;"!"&amp;matrix!A3),"")</f>
        <v/>
      </c>
      <c r="G17" s="51" t="str">
        <f ca="1">IF(AND($A16&lt;&gt;"",$C16&lt;&gt;""),INDIRECT(VLOOKUP($C16,formules!$A$49:$C$59,3,FALSE)&amp;"!"&amp;matrix!B3),"")</f>
        <v/>
      </c>
      <c r="H17" s="51" t="str">
        <f ca="1">IF(AND($A16&lt;&gt;"",$C16&lt;&gt;""),INDIRECT(VLOOKUP($C16,formules!$A$49:$C$59,3,FALSE)&amp;"!"&amp;matrix!C3),"")</f>
        <v/>
      </c>
      <c r="I17" s="51" t="str">
        <f ca="1">IF(AND($A16&lt;&gt;"",$C16&lt;&gt;""),INDIRECT(VLOOKUP($C16,formules!$A$49:$C$59,3,FALSE)&amp;"!"&amp;matrix!D3),"")</f>
        <v/>
      </c>
      <c r="J17" s="51" t="str">
        <f ca="1">IF(AND($A16&lt;&gt;"",$C16&lt;&gt;""),INDIRECT(VLOOKUP($C16,formules!$A$49:$C$59,3,FALSE)&amp;"!"&amp;matrix!E3),"")</f>
        <v/>
      </c>
      <c r="K17" s="51" t="str">
        <f ca="1">IF(AND($A16&lt;&gt;"",$C16&lt;&gt;""),INDIRECT(VLOOKUP($C16,formules!$A$49:$C$59,3,FALSE)&amp;"!"&amp;matrix!F3),"")</f>
        <v/>
      </c>
      <c r="L17" s="51" t="str">
        <f ca="1">IF(AND($A16&lt;&gt;"",$C16&lt;&gt;""),INDIRECT(VLOOKUP($C16,formules!$A$49:$C$59,3,FALSE)&amp;"!"&amp;matrix!G3),"")</f>
        <v/>
      </c>
      <c r="M17" s="51" t="str">
        <f ca="1">IF(AND($A16&lt;&gt;"",$C16&lt;&gt;""),INDIRECT(VLOOKUP($C16,formules!$A$49:$C$59,3,FALSE)&amp;"!"&amp;matrix!H3),"")</f>
        <v/>
      </c>
      <c r="N17" s="51" t="str">
        <f ca="1">IF(AND($A16&lt;&gt;"",$C16&lt;&gt;""),INDIRECT(VLOOKUP($C16,formules!$A$49:$C$59,3,FALSE)&amp;"!"&amp;matrix!I3),"")</f>
        <v/>
      </c>
      <c r="O17" s="131" t="str">
        <f ca="1">IF(AND($A16&lt;&gt;"",$C16&lt;&gt;""),INDIRECT(VLOOKUP($C16,formules!$A$49:$C$59,3,FALSE)&amp;"!"&amp;matrix!J3),"")</f>
        <v/>
      </c>
      <c r="P17" s="146"/>
      <c r="Q17" s="43"/>
    </row>
    <row r="18" spans="1:17" ht="21.75" customHeight="1" x14ac:dyDescent="0.25">
      <c r="A18" s="170">
        <v>0.5</v>
      </c>
      <c r="B18" s="175" t="s">
        <v>777</v>
      </c>
      <c r="C18" s="177" t="s">
        <v>34</v>
      </c>
      <c r="D18" s="162"/>
      <c r="E18" s="162"/>
      <c r="F18" s="40"/>
      <c r="G18" s="40"/>
      <c r="H18" s="40"/>
      <c r="I18" s="40"/>
      <c r="J18" s="40"/>
      <c r="K18" s="40"/>
      <c r="L18" s="40"/>
      <c r="M18" s="40"/>
      <c r="N18" s="40"/>
      <c r="O18" s="130"/>
      <c r="P18" s="146"/>
      <c r="Q18" s="43">
        <f>IFERROR(VLOOKUP(C18,formules!$A$52:$C$55,3,FALSE),0)</f>
        <v>4</v>
      </c>
    </row>
    <row r="19" spans="1:17" ht="21.75" customHeight="1" x14ac:dyDescent="0.25">
      <c r="A19" s="171"/>
      <c r="B19" s="176"/>
      <c r="C19" s="178"/>
      <c r="D19" s="163"/>
      <c r="E19" s="163"/>
      <c r="F19" s="51" t="str">
        <f ca="1">IF(AND($A18&lt;&gt;"",$C18&lt;&gt;""),INDIRECT(VLOOKUP($C18,formules!$A$49:$C$59,3,FALSE)&amp;"!"&amp;matrix!A4),"")</f>
        <v/>
      </c>
      <c r="G19" s="51" t="str">
        <f ca="1">IF(AND($A18&lt;&gt;"",$C18&lt;&gt;""),INDIRECT(VLOOKUP($C18,formules!$A$49:$C$59,3,FALSE)&amp;"!"&amp;matrix!B4),"")</f>
        <v/>
      </c>
      <c r="H19" s="51" t="str">
        <f ca="1">IF(AND($A18&lt;&gt;"",$C18&lt;&gt;""),INDIRECT(VLOOKUP($C18,formules!$A$49:$C$59,3,FALSE)&amp;"!"&amp;matrix!C4),"")</f>
        <v/>
      </c>
      <c r="I19" s="51" t="str">
        <f ca="1">IF(AND($A18&lt;&gt;"",$C18&lt;&gt;""),INDIRECT(VLOOKUP($C18,formules!$A$49:$C$59,3,FALSE)&amp;"!"&amp;matrix!D4),"")</f>
        <v/>
      </c>
      <c r="J19" s="51" t="str">
        <f ca="1">IF(AND($A18&lt;&gt;"",$C18&lt;&gt;""),INDIRECT(VLOOKUP($C18,formules!$A$49:$C$59,3,FALSE)&amp;"!"&amp;matrix!E4),"")</f>
        <v/>
      </c>
      <c r="K19" s="51" t="str">
        <f ca="1">IF(AND($A18&lt;&gt;"",$C18&lt;&gt;""),INDIRECT(VLOOKUP($C18,formules!$A$49:$C$59,3,FALSE)&amp;"!"&amp;matrix!F4),"")</f>
        <v/>
      </c>
      <c r="L19" s="51" t="str">
        <f ca="1">IF(AND($A18&lt;&gt;"",$C18&lt;&gt;""),INDIRECT(VLOOKUP($C18,formules!$A$49:$C$59,3,FALSE)&amp;"!"&amp;matrix!G4),"")</f>
        <v/>
      </c>
      <c r="M19" s="51" t="str">
        <f ca="1">IF(AND($A18&lt;&gt;"",$C18&lt;&gt;""),INDIRECT(VLOOKUP($C18,formules!$A$49:$C$59,3,FALSE)&amp;"!"&amp;matrix!H4),"")</f>
        <v/>
      </c>
      <c r="N19" s="51" t="str">
        <f ca="1">IF(AND($A18&lt;&gt;"",$C18&lt;&gt;""),INDIRECT(VLOOKUP($C18,formules!$A$49:$C$59,3,FALSE)&amp;"!"&amp;matrix!I4),"")</f>
        <v/>
      </c>
      <c r="O19" s="131" t="str">
        <f ca="1">IF(AND($A18&lt;&gt;"",$C18&lt;&gt;""),INDIRECT(VLOOKUP($C18,formules!$A$49:$C$59,3,FALSE)&amp;"!"&amp;matrix!J4),"")</f>
        <v/>
      </c>
      <c r="P19" s="146"/>
      <c r="Q19" s="43"/>
    </row>
    <row r="20" spans="1:17" ht="21.75" hidden="1" customHeight="1" outlineLevel="1" x14ac:dyDescent="0.25">
      <c r="A20" s="170"/>
      <c r="B20" s="162" t="s">
        <v>37</v>
      </c>
      <c r="C20" s="177"/>
      <c r="D20" s="162"/>
      <c r="E20" s="162"/>
      <c r="F20" s="40"/>
      <c r="G20" s="40"/>
      <c r="H20" s="40"/>
      <c r="I20" s="40"/>
      <c r="J20" s="40"/>
      <c r="K20" s="40"/>
      <c r="L20" s="40"/>
      <c r="M20" s="40"/>
      <c r="N20" s="40"/>
      <c r="O20" s="130"/>
      <c r="P20" s="146"/>
      <c r="Q20" s="43">
        <f>IFERROR(VLOOKUP(C20,formules!$A$52:$C$55,3,FALSE),0)</f>
        <v>0</v>
      </c>
    </row>
    <row r="21" spans="1:17" ht="21.75" hidden="1" customHeight="1" outlineLevel="1" x14ac:dyDescent="0.25">
      <c r="A21" s="171"/>
      <c r="B21" s="163"/>
      <c r="C21" s="178"/>
      <c r="D21" s="163"/>
      <c r="E21" s="163"/>
      <c r="F21" s="51" t="str">
        <f ca="1">IF(AND($A20&lt;&gt;"",$C20&lt;&gt;""),INDIRECT(VLOOKUP($C20,formules!$A$49:$C$59,3,FALSE)&amp;"!"&amp;matrix!A5),"")</f>
        <v/>
      </c>
      <c r="G21" s="51" t="str">
        <f ca="1">IF(AND($A20&lt;&gt;"",$C20&lt;&gt;""),INDIRECT(VLOOKUP($C20,formules!$A$49:$C$59,3,FALSE)&amp;"!"&amp;matrix!B5),"")</f>
        <v/>
      </c>
      <c r="H21" s="51" t="str">
        <f ca="1">IF(AND($A20&lt;&gt;"",$C20&lt;&gt;""),INDIRECT(VLOOKUP($C20,formules!$A$49:$C$59,3,FALSE)&amp;"!"&amp;matrix!C5),"")</f>
        <v/>
      </c>
      <c r="I21" s="51" t="str">
        <f ca="1">IF(AND($A20&lt;&gt;"",$C20&lt;&gt;""),INDIRECT(VLOOKUP($C20,formules!$A$49:$C$59,3,FALSE)&amp;"!"&amp;matrix!D5),"")</f>
        <v/>
      </c>
      <c r="J21" s="51" t="str">
        <f ca="1">IF(AND($A20&lt;&gt;"",$C20&lt;&gt;""),INDIRECT(VLOOKUP($C20,formules!$A$49:$C$59,3,FALSE)&amp;"!"&amp;matrix!E5),"")</f>
        <v/>
      </c>
      <c r="K21" s="51" t="str">
        <f ca="1">IF(AND($A20&lt;&gt;"",$C20&lt;&gt;""),INDIRECT(VLOOKUP($C20,formules!$A$49:$C$59,3,FALSE)&amp;"!"&amp;matrix!F5),"")</f>
        <v/>
      </c>
      <c r="L21" s="51" t="str">
        <f ca="1">IF(AND($A20&lt;&gt;"",$C20&lt;&gt;""),INDIRECT(VLOOKUP($C20,formules!$A$49:$C$59,3,FALSE)&amp;"!"&amp;matrix!G5),"")</f>
        <v/>
      </c>
      <c r="M21" s="51" t="str">
        <f ca="1">IF(AND($A20&lt;&gt;"",$C20&lt;&gt;""),INDIRECT(VLOOKUP($C20,formules!$A$49:$C$59,3,FALSE)&amp;"!"&amp;matrix!H5),"")</f>
        <v/>
      </c>
      <c r="N21" s="51" t="str">
        <f ca="1">IF(AND($A20&lt;&gt;"",$C20&lt;&gt;""),INDIRECT(VLOOKUP($C20,formules!$A$49:$C$59,3,FALSE)&amp;"!"&amp;matrix!I5),"")</f>
        <v/>
      </c>
      <c r="O21" s="131" t="str">
        <f ca="1">IF(AND($A20&lt;&gt;"",$C20&lt;&gt;""),INDIRECT(VLOOKUP($C20,formules!$A$49:$C$59,3,FALSE)&amp;"!"&amp;matrix!J5),"")</f>
        <v/>
      </c>
      <c r="P21" s="146"/>
      <c r="Q21" s="43"/>
    </row>
    <row r="22" spans="1:17" ht="21.75" hidden="1" customHeight="1" outlineLevel="1" x14ac:dyDescent="0.25">
      <c r="A22" s="170"/>
      <c r="B22" s="162" t="s">
        <v>38</v>
      </c>
      <c r="C22" s="177"/>
      <c r="D22" s="162"/>
      <c r="E22" s="162"/>
      <c r="F22" s="40"/>
      <c r="G22" s="40"/>
      <c r="H22" s="40"/>
      <c r="I22" s="40"/>
      <c r="J22" s="40"/>
      <c r="K22" s="40"/>
      <c r="L22" s="40"/>
      <c r="M22" s="40"/>
      <c r="N22" s="40"/>
      <c r="O22" s="130"/>
      <c r="P22" s="146"/>
      <c r="Q22" s="43">
        <f>IFERROR(VLOOKUP(C22,formules!$A$52:$C$55,3,FALSE),0)</f>
        <v>0</v>
      </c>
    </row>
    <row r="23" spans="1:17" ht="21.75" hidden="1" customHeight="1" outlineLevel="1" x14ac:dyDescent="0.25">
      <c r="A23" s="171"/>
      <c r="B23" s="163"/>
      <c r="C23" s="178"/>
      <c r="D23" s="163"/>
      <c r="E23" s="163"/>
      <c r="F23" s="149" t="str">
        <f ca="1">IF(AND($A22&lt;&gt;"",$C22&lt;&gt;""),INDIRECT(VLOOKUP($C22,formules!$A$49:$C$59,3,FALSE)&amp;"!"&amp;matrix!A6),"")</f>
        <v/>
      </c>
      <c r="G23" s="149" t="str">
        <f ca="1">IF(AND($A22&lt;&gt;"",$C22&lt;&gt;""),INDIRECT(VLOOKUP($C22,formules!$A$49:$C$59,3,FALSE)&amp;"!"&amp;matrix!B6),"")</f>
        <v/>
      </c>
      <c r="H23" s="149" t="str">
        <f ca="1">IF(AND($A22&lt;&gt;"",$C22&lt;&gt;""),INDIRECT(VLOOKUP($C22,formules!$A$49:$C$59,3,FALSE)&amp;"!"&amp;matrix!C6),"")</f>
        <v/>
      </c>
      <c r="I23" s="149" t="str">
        <f ca="1">IF(AND($A22&lt;&gt;"",$C22&lt;&gt;""),INDIRECT(VLOOKUP($C22,formules!$A$49:$C$59,3,FALSE)&amp;"!"&amp;matrix!D6),"")</f>
        <v/>
      </c>
      <c r="J23" s="149" t="str">
        <f ca="1">IF(AND($A22&lt;&gt;"",$C22&lt;&gt;""),INDIRECT(VLOOKUP($C22,formules!$A$49:$C$59,3,FALSE)&amp;"!"&amp;matrix!E6),"")</f>
        <v/>
      </c>
      <c r="K23" s="149" t="str">
        <f ca="1">IF(AND($A22&lt;&gt;"",$C22&lt;&gt;""),INDIRECT(VLOOKUP($C22,formules!$A$49:$C$59,3,FALSE)&amp;"!"&amp;matrix!F6),"")</f>
        <v/>
      </c>
      <c r="L23" s="149" t="str">
        <f ca="1">IF(AND($A22&lt;&gt;"",$C22&lt;&gt;""),INDIRECT(VLOOKUP($C22,formules!$A$49:$C$59,3,FALSE)&amp;"!"&amp;matrix!G6),"")</f>
        <v/>
      </c>
      <c r="M23" s="149" t="str">
        <f ca="1">IF(AND($A22&lt;&gt;"",$C22&lt;&gt;""),INDIRECT(VLOOKUP($C22,formules!$A$49:$C$59,3,FALSE)&amp;"!"&amp;matrix!H6),"")</f>
        <v/>
      </c>
      <c r="N23" s="149" t="str">
        <f ca="1">IF(AND($A22&lt;&gt;"",$C22&lt;&gt;""),INDIRECT(VLOOKUP($C22,formules!$A$49:$C$59,3,FALSE)&amp;"!"&amp;matrix!I6),"")</f>
        <v/>
      </c>
      <c r="O23" s="150" t="str">
        <f ca="1">IF(AND($A22&lt;&gt;"",$C22&lt;&gt;""),INDIRECT(VLOOKUP($C22,formules!$A$49:$C$59,3,FALSE)&amp;"!"&amp;matrix!J6),"")</f>
        <v/>
      </c>
      <c r="P23" s="146"/>
      <c r="Q23" s="43"/>
    </row>
    <row r="24" spans="1:17" ht="21.75" hidden="1" customHeight="1" outlineLevel="1" x14ac:dyDescent="0.25">
      <c r="A24" s="170"/>
      <c r="B24" s="162" t="s">
        <v>39</v>
      </c>
      <c r="C24" s="177"/>
      <c r="D24" s="162"/>
      <c r="E24" s="162"/>
      <c r="F24" s="40"/>
      <c r="G24" s="40"/>
      <c r="H24" s="40"/>
      <c r="I24" s="40"/>
      <c r="J24" s="40"/>
      <c r="K24" s="40"/>
      <c r="L24" s="40"/>
      <c r="M24" s="40"/>
      <c r="N24" s="40"/>
      <c r="O24" s="130"/>
      <c r="P24" s="146"/>
      <c r="Q24" s="43">
        <f>IFERROR(VLOOKUP(C24,formules!$A$52:$C$55,3,FALSE),0)</f>
        <v>0</v>
      </c>
    </row>
    <row r="25" spans="1:17" ht="21.75" hidden="1" customHeight="1" outlineLevel="1" x14ac:dyDescent="0.25">
      <c r="A25" s="171"/>
      <c r="B25" s="163"/>
      <c r="C25" s="178"/>
      <c r="D25" s="163"/>
      <c r="E25" s="163"/>
      <c r="F25" s="51" t="str">
        <f ca="1">IF(AND($A24&lt;&gt;"",$C24&lt;&gt;""),INDIRECT(VLOOKUP($C24,formules!$A$49:$C$59,3,FALSE)&amp;"!"&amp;matrix!A7),"")</f>
        <v/>
      </c>
      <c r="G25" s="51" t="str">
        <f ca="1">IF(AND($A24&lt;&gt;"",$C24&lt;&gt;""),INDIRECT(VLOOKUP($C24,formules!$A$49:$C$59,3,FALSE)&amp;"!"&amp;matrix!B7),"")</f>
        <v/>
      </c>
      <c r="H25" s="51" t="str">
        <f ca="1">IF(AND($A24&lt;&gt;"",$C24&lt;&gt;""),INDIRECT(VLOOKUP($C24,formules!$A$49:$C$59,3,FALSE)&amp;"!"&amp;matrix!C7),"")</f>
        <v/>
      </c>
      <c r="I25" s="51" t="str">
        <f ca="1">IF(AND($A24&lt;&gt;"",$C24&lt;&gt;""),INDIRECT(VLOOKUP($C24,formules!$A$49:$C$59,3,FALSE)&amp;"!"&amp;matrix!D7),"")</f>
        <v/>
      </c>
      <c r="J25" s="51" t="str">
        <f ca="1">IF(AND($A24&lt;&gt;"",$C24&lt;&gt;""),INDIRECT(VLOOKUP($C24,formules!$A$49:$C$59,3,FALSE)&amp;"!"&amp;matrix!E7),"")</f>
        <v/>
      </c>
      <c r="K25" s="51" t="str">
        <f ca="1">IF(AND($A24&lt;&gt;"",$C24&lt;&gt;""),INDIRECT(VLOOKUP($C24,formules!$A$49:$C$59,3,FALSE)&amp;"!"&amp;matrix!F7),"")</f>
        <v/>
      </c>
      <c r="L25" s="51" t="str">
        <f ca="1">IF(AND($A24&lt;&gt;"",$C24&lt;&gt;""),INDIRECT(VLOOKUP($C24,formules!$A$49:$C$59,3,FALSE)&amp;"!"&amp;matrix!G7),"")</f>
        <v/>
      </c>
      <c r="M25" s="51" t="str">
        <f ca="1">IF(AND($A24&lt;&gt;"",$C24&lt;&gt;""),INDIRECT(VLOOKUP($C24,formules!$A$49:$C$59,3,FALSE)&amp;"!"&amp;matrix!H7),"")</f>
        <v/>
      </c>
      <c r="N25" s="51" t="str">
        <f ca="1">IF(AND($A24&lt;&gt;"",$C24&lt;&gt;""),INDIRECT(VLOOKUP($C24,formules!$A$49:$C$59,3,FALSE)&amp;"!"&amp;matrix!I7),"")</f>
        <v/>
      </c>
      <c r="O25" s="131" t="str">
        <f ca="1">IF(AND($A24&lt;&gt;"",$C24&lt;&gt;""),INDIRECT(VLOOKUP($C24,formules!$A$49:$C$59,3,FALSE)&amp;"!"&amp;matrix!J7),"")</f>
        <v/>
      </c>
      <c r="P25" s="146"/>
      <c r="Q25" s="43"/>
    </row>
    <row r="26" spans="1:17" ht="21.75" hidden="1" customHeight="1" outlineLevel="1" x14ac:dyDescent="0.25">
      <c r="A26" s="170"/>
      <c r="B26" s="162" t="s">
        <v>40</v>
      </c>
      <c r="C26" s="177"/>
      <c r="D26" s="162"/>
      <c r="E26" s="162"/>
      <c r="F26" s="40"/>
      <c r="G26" s="40"/>
      <c r="H26" s="40"/>
      <c r="I26" s="40"/>
      <c r="J26" s="40"/>
      <c r="K26" s="40"/>
      <c r="L26" s="40"/>
      <c r="M26" s="40"/>
      <c r="N26" s="40"/>
      <c r="O26" s="130"/>
      <c r="P26" s="146"/>
      <c r="Q26" s="43">
        <f>IFERROR(VLOOKUP(C26,formules!$A$52:$C$55,3,FALSE),0)</f>
        <v>0</v>
      </c>
    </row>
    <row r="27" spans="1:17" ht="21.75" hidden="1" customHeight="1" outlineLevel="1" x14ac:dyDescent="0.25">
      <c r="A27" s="171"/>
      <c r="B27" s="163"/>
      <c r="C27" s="178"/>
      <c r="D27" s="163"/>
      <c r="E27" s="163"/>
      <c r="F27" s="51" t="str">
        <f ca="1">IF(AND($A26&lt;&gt;"",$C26&lt;&gt;""),INDIRECT(VLOOKUP($C26,formules!$A$49:$C$59,3,FALSE)&amp;"!"&amp;matrix!A8),"")</f>
        <v/>
      </c>
      <c r="G27" s="51" t="str">
        <f ca="1">IF(AND($A26&lt;&gt;"",$C26&lt;&gt;""),INDIRECT(VLOOKUP($C26,formules!$A$49:$C$59,3,FALSE)&amp;"!"&amp;matrix!B8),"")</f>
        <v/>
      </c>
      <c r="H27" s="51" t="str">
        <f ca="1">IF(AND($A26&lt;&gt;"",$C26&lt;&gt;""),INDIRECT(VLOOKUP($C26,formules!$A$49:$C$59,3,FALSE)&amp;"!"&amp;matrix!C8),"")</f>
        <v/>
      </c>
      <c r="I27" s="51" t="str">
        <f ca="1">IF(AND($A26&lt;&gt;"",$C26&lt;&gt;""),INDIRECT(VLOOKUP($C26,formules!$A$49:$C$59,3,FALSE)&amp;"!"&amp;matrix!D8),"")</f>
        <v/>
      </c>
      <c r="J27" s="51" t="str">
        <f ca="1">IF(AND($A26&lt;&gt;"",$C26&lt;&gt;""),INDIRECT(VLOOKUP($C26,formules!$A$49:$C$59,3,FALSE)&amp;"!"&amp;matrix!E8),"")</f>
        <v/>
      </c>
      <c r="K27" s="51" t="str">
        <f ca="1">IF(AND($A26&lt;&gt;"",$C26&lt;&gt;""),INDIRECT(VLOOKUP($C26,formules!$A$49:$C$59,3,FALSE)&amp;"!"&amp;matrix!F8),"")</f>
        <v/>
      </c>
      <c r="L27" s="51" t="str">
        <f ca="1">IF(AND($A26&lt;&gt;"",$C26&lt;&gt;""),INDIRECT(VLOOKUP($C26,formules!$A$49:$C$59,3,FALSE)&amp;"!"&amp;matrix!G8),"")</f>
        <v/>
      </c>
      <c r="M27" s="51" t="str">
        <f ca="1">IF(AND($A26&lt;&gt;"",$C26&lt;&gt;""),INDIRECT(VLOOKUP($C26,formules!$A$49:$C$59,3,FALSE)&amp;"!"&amp;matrix!H8),"")</f>
        <v/>
      </c>
      <c r="N27" s="51" t="str">
        <f ca="1">IF(AND($A26&lt;&gt;"",$C26&lt;&gt;""),INDIRECT(VLOOKUP($C26,formules!$A$49:$C$59,3,FALSE)&amp;"!"&amp;matrix!I8),"")</f>
        <v/>
      </c>
      <c r="O27" s="131" t="str">
        <f ca="1">IF(AND($A26&lt;&gt;"",$C26&lt;&gt;""),INDIRECT(VLOOKUP($C26,formules!$A$49:$C$59,3,FALSE)&amp;"!"&amp;matrix!J8),"")</f>
        <v/>
      </c>
      <c r="P27" s="146"/>
      <c r="Q27" s="43"/>
    </row>
    <row r="28" spans="1:17" ht="21.75" hidden="1" customHeight="1" outlineLevel="1" x14ac:dyDescent="0.25">
      <c r="A28" s="170"/>
      <c r="B28" s="162" t="s">
        <v>41</v>
      </c>
      <c r="C28" s="177"/>
      <c r="D28" s="162"/>
      <c r="E28" s="162"/>
      <c r="F28" s="40"/>
      <c r="G28" s="40"/>
      <c r="H28" s="40"/>
      <c r="I28" s="40"/>
      <c r="J28" s="40"/>
      <c r="K28" s="40"/>
      <c r="L28" s="40"/>
      <c r="M28" s="40"/>
      <c r="N28" s="40"/>
      <c r="O28" s="130"/>
      <c r="P28" s="146"/>
      <c r="Q28" s="43">
        <f>IFERROR(VLOOKUP(C28,formules!$A$52:$C$55,3,FALSE),0)</f>
        <v>0</v>
      </c>
    </row>
    <row r="29" spans="1:17" ht="21.75" hidden="1" customHeight="1" outlineLevel="1" x14ac:dyDescent="0.25">
      <c r="A29" s="171"/>
      <c r="B29" s="163"/>
      <c r="C29" s="178"/>
      <c r="D29" s="163"/>
      <c r="E29" s="163"/>
      <c r="F29" s="51" t="str">
        <f ca="1">IF(AND($A28&lt;&gt;"",$C28&lt;&gt;""),INDIRECT(VLOOKUP($C28,formules!$A$49:$C$59,3,FALSE)&amp;"!"&amp;matrix!A9),"")</f>
        <v/>
      </c>
      <c r="G29" s="51" t="str">
        <f ca="1">IF(AND($A28&lt;&gt;"",$C28&lt;&gt;""),INDIRECT(VLOOKUP($C28,formules!$A$49:$C$59,3,FALSE)&amp;"!"&amp;matrix!B9),"")</f>
        <v/>
      </c>
      <c r="H29" s="51" t="str">
        <f ca="1">IF(AND($A28&lt;&gt;"",$C28&lt;&gt;""),INDIRECT(VLOOKUP($C28,formules!$A$49:$C$59,3,FALSE)&amp;"!"&amp;matrix!C9),"")</f>
        <v/>
      </c>
      <c r="I29" s="51" t="str">
        <f ca="1">IF(AND($A28&lt;&gt;"",$C28&lt;&gt;""),INDIRECT(VLOOKUP($C28,formules!$A$49:$C$59,3,FALSE)&amp;"!"&amp;matrix!D9),"")</f>
        <v/>
      </c>
      <c r="J29" s="51" t="str">
        <f ca="1">IF(AND($A28&lt;&gt;"",$C28&lt;&gt;""),INDIRECT(VLOOKUP($C28,formules!$A$49:$C$59,3,FALSE)&amp;"!"&amp;matrix!E9),"")</f>
        <v/>
      </c>
      <c r="K29" s="51" t="str">
        <f ca="1">IF(AND($A28&lt;&gt;"",$C28&lt;&gt;""),INDIRECT(VLOOKUP($C28,formules!$A$49:$C$59,3,FALSE)&amp;"!"&amp;matrix!F9),"")</f>
        <v/>
      </c>
      <c r="L29" s="51" t="str">
        <f ca="1">IF(AND($A28&lt;&gt;"",$C28&lt;&gt;""),INDIRECT(VLOOKUP($C28,formules!$A$49:$C$59,3,FALSE)&amp;"!"&amp;matrix!G9),"")</f>
        <v/>
      </c>
      <c r="M29" s="51" t="str">
        <f ca="1">IF(AND($A28&lt;&gt;"",$C28&lt;&gt;""),INDIRECT(VLOOKUP($C28,formules!$A$49:$C$59,3,FALSE)&amp;"!"&amp;matrix!H9),"")</f>
        <v/>
      </c>
      <c r="N29" s="51" t="str">
        <f ca="1">IF(AND($A28&lt;&gt;"",$C28&lt;&gt;""),INDIRECT(VLOOKUP($C28,formules!$A$49:$C$59,3,FALSE)&amp;"!"&amp;matrix!I9),"")</f>
        <v/>
      </c>
      <c r="O29" s="131" t="str">
        <f ca="1">IF(AND($A28&lt;&gt;"",$C28&lt;&gt;""),INDIRECT(VLOOKUP($C28,formules!$A$49:$C$59,3,FALSE)&amp;"!"&amp;matrix!J9),"")</f>
        <v/>
      </c>
      <c r="P29" s="146"/>
      <c r="Q29" s="43"/>
    </row>
    <row r="30" spans="1:17" ht="21.75" hidden="1" customHeight="1" outlineLevel="1" x14ac:dyDescent="0.25">
      <c r="A30" s="170"/>
      <c r="B30" s="162" t="s">
        <v>42</v>
      </c>
      <c r="C30" s="177"/>
      <c r="D30" s="162"/>
      <c r="E30" s="162"/>
      <c r="F30" s="40"/>
      <c r="G30" s="40"/>
      <c r="H30" s="40"/>
      <c r="I30" s="40"/>
      <c r="J30" s="40"/>
      <c r="K30" s="40"/>
      <c r="L30" s="40"/>
      <c r="M30" s="40"/>
      <c r="N30" s="40"/>
      <c r="O30" s="130"/>
      <c r="P30" s="146"/>
      <c r="Q30" s="43">
        <f>IFERROR(VLOOKUP(C30,formules!$A$52:$C$55,3,FALSE),0)</f>
        <v>0</v>
      </c>
    </row>
    <row r="31" spans="1:17" ht="21.75" hidden="1" customHeight="1" outlineLevel="1" x14ac:dyDescent="0.25">
      <c r="A31" s="171"/>
      <c r="B31" s="163"/>
      <c r="C31" s="180"/>
      <c r="D31" s="163"/>
      <c r="E31" s="163"/>
      <c r="F31" s="51" t="str">
        <f ca="1">IF(AND($A30&lt;&gt;"",$C30&lt;&gt;""),INDIRECT(VLOOKUP($C30,formules!$A$49:$C$59,3,FALSE)&amp;"!"&amp;matrix!A10),"")</f>
        <v/>
      </c>
      <c r="G31" s="51" t="str">
        <f ca="1">IF(AND($A30&lt;&gt;"",$C30&lt;&gt;""),INDIRECT(VLOOKUP($C30,formules!$A$49:$C$59,3,FALSE)&amp;"!"&amp;matrix!B10),"")</f>
        <v/>
      </c>
      <c r="H31" s="51" t="str">
        <f ca="1">IF(AND($A30&lt;&gt;"",$C30&lt;&gt;""),INDIRECT(VLOOKUP($C30,formules!$A$49:$C$59,3,FALSE)&amp;"!"&amp;matrix!C10),"")</f>
        <v/>
      </c>
      <c r="I31" s="51" t="str">
        <f ca="1">IF(AND($A30&lt;&gt;"",$C30&lt;&gt;""),INDIRECT(VLOOKUP($C30,formules!$A$49:$C$59,3,FALSE)&amp;"!"&amp;matrix!D10),"")</f>
        <v/>
      </c>
      <c r="J31" s="51" t="str">
        <f ca="1">IF(AND($A30&lt;&gt;"",$C30&lt;&gt;""),INDIRECT(VLOOKUP($C30,formules!$A$49:$C$59,3,FALSE)&amp;"!"&amp;matrix!E10),"")</f>
        <v/>
      </c>
      <c r="K31" s="51" t="str">
        <f ca="1">IF(AND($A30&lt;&gt;"",$C30&lt;&gt;""),INDIRECT(VLOOKUP($C30,formules!$A$49:$C$59,3,FALSE)&amp;"!"&amp;matrix!F10),"")</f>
        <v/>
      </c>
      <c r="L31" s="51" t="str">
        <f ca="1">IF(AND($A30&lt;&gt;"",$C30&lt;&gt;""),INDIRECT(VLOOKUP($C30,formules!$A$49:$C$59,3,FALSE)&amp;"!"&amp;matrix!G10),"")</f>
        <v/>
      </c>
      <c r="M31" s="51" t="str">
        <f ca="1">IF(AND($A30&lt;&gt;"",$C30&lt;&gt;""),INDIRECT(VLOOKUP($C30,formules!$A$49:$C$59,3,FALSE)&amp;"!"&amp;matrix!H10),"")</f>
        <v/>
      </c>
      <c r="N31" s="51" t="str">
        <f ca="1">IF(AND($A30&lt;&gt;"",$C30&lt;&gt;""),INDIRECT(VLOOKUP($C30,formules!$A$49:$C$59,3,FALSE)&amp;"!"&amp;matrix!I10),"")</f>
        <v/>
      </c>
      <c r="O31" s="131" t="str">
        <f ca="1">IF(AND($A30&lt;&gt;"",$C30&lt;&gt;""),INDIRECT(VLOOKUP($C30,formules!$A$49:$C$59,3,FALSE)&amp;"!"&amp;matrix!J10),"")</f>
        <v/>
      </c>
      <c r="P31" s="146"/>
      <c r="Q31" s="43"/>
    </row>
    <row r="32" spans="1:17" ht="30" customHeight="1" collapsed="1" x14ac:dyDescent="0.25">
      <c r="A32" s="179">
        <f>SUM(A11:A31)</f>
        <v>100</v>
      </c>
      <c r="B32" s="174" t="str">
        <f>IF(VLOOKUP($C$11,formules!$A$2:$AN82,36,FALSE)&lt;&gt;0,VLOOKUP($C$11,formules!$A$2:$AN82,36,FALSE),"")</f>
        <v/>
      </c>
      <c r="C32" s="174"/>
      <c r="D32" s="165">
        <v>2</v>
      </c>
      <c r="E32" s="165"/>
      <c r="F32" s="52"/>
      <c r="G32" s="53"/>
      <c r="H32" s="53"/>
      <c r="I32" s="53"/>
      <c r="J32" s="53"/>
      <c r="K32" s="53"/>
      <c r="L32" s="53"/>
      <c r="M32" s="53"/>
      <c r="N32" s="53"/>
      <c r="O32" s="132"/>
      <c r="P32" s="146"/>
      <c r="Q32" s="43"/>
    </row>
    <row r="33" spans="1:17" ht="32.25" customHeight="1" x14ac:dyDescent="0.25">
      <c r="A33" s="179"/>
      <c r="B33" s="174" t="str">
        <f>IF(VLOOKUP($C$11,formules!$A$2:$AN82,37,FALSE)&lt;&gt;0,VLOOKUP($C$11,formules!$A$2:$AN82,37,FALSE),"")</f>
        <v/>
      </c>
      <c r="C33" s="174"/>
      <c r="D33" s="162">
        <v>5</v>
      </c>
      <c r="E33" s="162"/>
      <c r="F33" s="54"/>
      <c r="G33" s="55"/>
      <c r="H33" s="55"/>
      <c r="I33" s="55"/>
      <c r="J33" s="55"/>
      <c r="K33" s="55"/>
      <c r="L33" s="55"/>
      <c r="M33" s="55"/>
      <c r="N33" s="55"/>
      <c r="O33" s="133"/>
      <c r="P33" s="146"/>
    </row>
    <row r="34" spans="1:17" ht="28.5" customHeight="1" x14ac:dyDescent="0.25">
      <c r="A34" s="179"/>
      <c r="B34" s="174" t="str">
        <f>IF(VLOOKUP($C$11,formules!$A$2:$AN82,35,FALSE)&lt;&gt;0,"n","")</f>
        <v/>
      </c>
      <c r="C34" s="174"/>
      <c r="D34" s="166">
        <v>1</v>
      </c>
      <c r="E34" s="167"/>
      <c r="F34" s="56"/>
      <c r="G34" s="57"/>
      <c r="H34" s="57"/>
      <c r="I34" s="57"/>
      <c r="J34" s="57"/>
      <c r="K34" s="57"/>
      <c r="L34" s="57"/>
      <c r="M34" s="57"/>
      <c r="N34" s="57"/>
      <c r="O34" s="134"/>
      <c r="P34" s="146"/>
    </row>
    <row r="35" spans="1:17" ht="22.5" customHeight="1" x14ac:dyDescent="0.25">
      <c r="A35" s="93"/>
      <c r="B35" s="94"/>
      <c r="C35" s="94"/>
      <c r="D35" s="168" t="s">
        <v>43</v>
      </c>
      <c r="E35" s="169"/>
      <c r="F35" s="58" t="str">
        <f ca="1">IF(OR(ISERROR(VLOOKUP($C$11,formules!$A$2:$N$60,formules!B64,FALSE)),F11=""),"",VLOOKUP($C$11,formules!$A$2:$N$60,formules!B64,FALSE))</f>
        <v/>
      </c>
      <c r="G35" s="58" t="str">
        <f ca="1">IF(OR(ISERROR(VLOOKUP($C$11,formules!$A$2:$N$60,formules!C64,FALSE)),G11=""),"",VLOOKUP($C$11,formules!$A$2:$N$60,formules!C64,FALSE))</f>
        <v/>
      </c>
      <c r="H35" s="58" t="str">
        <f ca="1">IF(OR(ISERROR(VLOOKUP($C$11,formules!$A$2:$N$60,formules!D64,FALSE)),H11=""),"",VLOOKUP($C$11,formules!$A$2:$N$60,formules!D64,FALSE))</f>
        <v/>
      </c>
      <c r="I35" s="58" t="str">
        <f ca="1">IF(OR(ISERROR(VLOOKUP($C$11,formules!$A$2:$N$60,formules!E64,FALSE)),I11=""),"",VLOOKUP($C$11,formules!$A$2:$N$60,formules!E64,FALSE))</f>
        <v/>
      </c>
      <c r="J35" s="58" t="str">
        <f ca="1">IF(OR(ISERROR(VLOOKUP($C$11,formules!$A$2:$N$60,formules!F64,FALSE)),J11=""),"",VLOOKUP($C$11,formules!$A$2:$N$60,formules!F64,FALSE))</f>
        <v/>
      </c>
      <c r="K35" s="58" t="str">
        <f ca="1">IF(OR(ISERROR(VLOOKUP($C$11,formules!$A$2:$N$60,formules!G64,FALSE)),K11=""),"",VLOOKUP($C$11,formules!$A$2:$N$60,formules!G64,FALSE))</f>
        <v/>
      </c>
      <c r="L35" s="58" t="str">
        <f ca="1">IF(OR(ISERROR(VLOOKUP($C$11,formules!$A$2:$N$60,formules!H64,FALSE)),L11=""),"",VLOOKUP($C$11,formules!$A$2:$N$60,formules!H64,FALSE))</f>
        <v/>
      </c>
      <c r="M35" s="58" t="str">
        <f ca="1">IF(OR(ISERROR(VLOOKUP($C$11,formules!$A$2:$N$60,formules!I64,FALSE)),M11=""),"",VLOOKUP($C$11,formules!$A$2:$N$60,formules!I64,FALSE))</f>
        <v/>
      </c>
      <c r="N35" s="58" t="str">
        <f ca="1">IF(OR(ISERROR(VLOOKUP($C$11,formules!$A$2:$N$60,formules!J64,FALSE)),N11=""),"",VLOOKUP($C$11,formules!$A$2:$N$60,formules!J64,FALSE))</f>
        <v/>
      </c>
      <c r="O35" s="135" t="str">
        <f ca="1">IF(OR(ISERROR(VLOOKUP($C$11,formules!$A$2:$O$60,formules!K64,FALSE)),O11=""),"",VLOOKUP($C$11,formules!$A$2:$O$60,formules!K64,FALSE))</f>
        <v/>
      </c>
      <c r="P35" s="146"/>
    </row>
    <row r="36" spans="1:17" hidden="1" x14ac:dyDescent="0.25">
      <c r="A36" s="95"/>
      <c r="B36" s="94"/>
      <c r="C36" s="94"/>
      <c r="D36" s="100" t="s">
        <v>44</v>
      </c>
      <c r="E36" s="100"/>
      <c r="F36" s="59" t="str">
        <f t="shared" ref="F36:O36" ca="1" si="0">IFERROR(F35-F39,"")</f>
        <v/>
      </c>
      <c r="G36" s="59" t="str">
        <f t="shared" ca="1" si="0"/>
        <v/>
      </c>
      <c r="H36" s="59" t="str">
        <f t="shared" ca="1" si="0"/>
        <v/>
      </c>
      <c r="I36" s="59" t="str">
        <f t="shared" ca="1" si="0"/>
        <v/>
      </c>
      <c r="J36" s="59" t="str">
        <f t="shared" ca="1" si="0"/>
        <v/>
      </c>
      <c r="K36" s="59" t="str">
        <f t="shared" ca="1" si="0"/>
        <v/>
      </c>
      <c r="L36" s="59" t="str">
        <f t="shared" ca="1" si="0"/>
        <v/>
      </c>
      <c r="M36" s="59" t="str">
        <f t="shared" ca="1" si="0"/>
        <v/>
      </c>
      <c r="N36" s="59" t="str">
        <f t="shared" ca="1" si="0"/>
        <v/>
      </c>
      <c r="O36" s="136" t="str">
        <f t="shared" ca="1" si="0"/>
        <v/>
      </c>
      <c r="P36" s="146"/>
    </row>
    <row r="37" spans="1:17" x14ac:dyDescent="0.25">
      <c r="A37" s="95"/>
      <c r="B37" s="94"/>
      <c r="C37" s="94"/>
      <c r="D37" s="168" t="s">
        <v>45</v>
      </c>
      <c r="E37" s="186"/>
      <c r="F37" s="186"/>
      <c r="G37" s="186"/>
      <c r="H37" s="186"/>
      <c r="I37" s="186"/>
      <c r="J37" s="186"/>
      <c r="K37" s="186"/>
      <c r="L37" s="186"/>
      <c r="M37" s="186"/>
      <c r="N37" s="186"/>
      <c r="O37" s="187"/>
      <c r="P37" s="146"/>
    </row>
    <row r="38" spans="1:17" ht="20.25" customHeight="1" x14ac:dyDescent="0.25">
      <c r="A38" s="95"/>
      <c r="B38" s="94"/>
      <c r="C38" s="94"/>
      <c r="D38" s="168" t="s">
        <v>46</v>
      </c>
      <c r="E38" s="169"/>
      <c r="F38" s="191" t="str">
        <f>VLOOKUP($C$11,formules!$A$2:$AP82,17,FALSE)</f>
        <v>Psetmax=3313569€; Psetmin=0€; Wkokybė=8; Wkaina=92</v>
      </c>
      <c r="G38" s="192"/>
      <c r="H38" s="192"/>
      <c r="I38" s="192"/>
      <c r="J38" s="192"/>
      <c r="K38" s="192"/>
      <c r="L38" s="192"/>
      <c r="M38" s="192"/>
      <c r="N38" s="192"/>
      <c r="O38" s="193"/>
      <c r="P38" s="146"/>
    </row>
    <row r="39" spans="1:17" x14ac:dyDescent="0.25">
      <c r="A39" s="95"/>
      <c r="B39" s="94"/>
      <c r="C39" s="94"/>
      <c r="D39" s="168" t="str">
        <f>IF(Q39="n","Qi (balais)","Wkokybė x Qi")</f>
        <v>Wkokybė x Qi</v>
      </c>
      <c r="E39" s="169"/>
      <c r="F39" s="60" t="str">
        <f t="shared" ref="F39:O39" si="1">IF(AND(F12&lt;&gt;"",F11&lt;&gt;""),(SUM(F13,F15,F17,F19,F21,F23,F25,F27,F29,F31)),"")</f>
        <v/>
      </c>
      <c r="G39" s="60" t="str">
        <f t="shared" si="1"/>
        <v/>
      </c>
      <c r="H39" s="60" t="str">
        <f t="shared" si="1"/>
        <v/>
      </c>
      <c r="I39" s="60" t="str">
        <f t="shared" si="1"/>
        <v/>
      </c>
      <c r="J39" s="60" t="str">
        <f t="shared" si="1"/>
        <v/>
      </c>
      <c r="K39" s="60" t="str">
        <f t="shared" si="1"/>
        <v/>
      </c>
      <c r="L39" s="60" t="str">
        <f t="shared" si="1"/>
        <v/>
      </c>
      <c r="M39" s="60" t="str">
        <f t="shared" si="1"/>
        <v/>
      </c>
      <c r="N39" s="60" t="str">
        <f t="shared" si="1"/>
        <v/>
      </c>
      <c r="O39" s="137" t="str">
        <f t="shared" si="1"/>
        <v/>
      </c>
      <c r="P39" s="146"/>
      <c r="Q39" s="43">
        <f>VLOOKUP($C$11,formules!$A$2:$AP82,19,FALSE)</f>
        <v>0</v>
      </c>
    </row>
    <row r="40" spans="1:17" x14ac:dyDescent="0.25">
      <c r="A40" s="95"/>
      <c r="B40" s="94"/>
      <c r="C40" s="94"/>
      <c r="D40" s="164" t="s">
        <v>47</v>
      </c>
      <c r="E40" s="164"/>
      <c r="F40" s="156" t="str">
        <f t="shared" ref="F40:O40" si="2">IFERROR(F39/WQ,"")</f>
        <v/>
      </c>
      <c r="G40" s="156" t="str">
        <f t="shared" si="2"/>
        <v/>
      </c>
      <c r="H40" s="156" t="str">
        <f t="shared" si="2"/>
        <v/>
      </c>
      <c r="I40" s="156" t="str">
        <f t="shared" si="2"/>
        <v/>
      </c>
      <c r="J40" s="156" t="str">
        <f t="shared" si="2"/>
        <v/>
      </c>
      <c r="K40" s="156" t="str">
        <f t="shared" si="2"/>
        <v/>
      </c>
      <c r="L40" s="61" t="str">
        <f t="shared" si="2"/>
        <v/>
      </c>
      <c r="M40" s="61" t="str">
        <f t="shared" si="2"/>
        <v/>
      </c>
      <c r="N40" s="61" t="str">
        <f t="shared" si="2"/>
        <v/>
      </c>
      <c r="O40" s="138" t="str">
        <f t="shared" si="2"/>
        <v/>
      </c>
      <c r="P40" s="147" t="s">
        <v>48</v>
      </c>
    </row>
    <row r="41" spans="1:17" x14ac:dyDescent="0.25">
      <c r="A41" s="95"/>
      <c r="B41" s="94"/>
      <c r="C41" s="94"/>
      <c r="D41" s="168" t="s">
        <v>49</v>
      </c>
      <c r="E41" s="169"/>
      <c r="F41" s="155" t="str">
        <f>F40</f>
        <v/>
      </c>
      <c r="G41" s="155" t="str">
        <f t="shared" ref="G41:O41" si="3">G40</f>
        <v/>
      </c>
      <c r="H41" s="155" t="str">
        <f t="shared" si="3"/>
        <v/>
      </c>
      <c r="I41" s="155" t="str">
        <f t="shared" si="3"/>
        <v/>
      </c>
      <c r="J41" s="155" t="str">
        <f t="shared" si="3"/>
        <v/>
      </c>
      <c r="K41" s="155" t="str">
        <f t="shared" si="3"/>
        <v/>
      </c>
      <c r="L41" s="98" t="str">
        <f t="shared" si="3"/>
        <v/>
      </c>
      <c r="M41" s="98" t="str">
        <f t="shared" si="3"/>
        <v/>
      </c>
      <c r="N41" s="98" t="str">
        <f t="shared" si="3"/>
        <v/>
      </c>
      <c r="O41" s="139" t="str">
        <f t="shared" si="3"/>
        <v/>
      </c>
      <c r="P41" s="147"/>
    </row>
    <row r="42" spans="1:17" x14ac:dyDescent="0.25">
      <c r="A42" s="95"/>
      <c r="B42" s="94"/>
      <c r="C42" s="94"/>
      <c r="D42" s="164" t="str">
        <f>IF(VLOOKUP($C$11,formules!$A$2:$AP82,18,FALSE)=0,"",VLOOKUP($C$11,formules!$A$2:$AP82,18,FALSE))</f>
        <v/>
      </c>
      <c r="E42" s="164"/>
      <c r="F42" s="98" t="str">
        <f ca="1">IFERROR(IF($D42="Ui",formules!F77,IF($D42="Log(Pi/Pmažiausia)",ROUND(LOG(F11/MIN(P)),3),IF($D42="ĮVERTkaina",(COUNT(P)-RANK(OFFSET(P,0,formules!B$63),P,1))/(COUNT(P)-1),""))),"")</f>
        <v/>
      </c>
      <c r="G42" s="98" t="str">
        <f ca="1">IFERROR(IF($D42="Ui",formules!G77,IF($D42="Log(Pi/Pmažiausia)",ROUND(LOG(G11/MIN(P)),3),IF($D42="ĮVERTkaina",(COUNT(P)-RANK(OFFSET(P,0,formules!C$63),P,1))/(COUNT(P)-1),""))),"")</f>
        <v/>
      </c>
      <c r="H42" s="98" t="str">
        <f ca="1">IFERROR(IF($D42="Ui",formules!H77,IF($D42="Log(Pi/Pmažiausia)",ROUND(LOG(H11/MIN(P)),3),IF($D42="ĮVERTkaina",(COUNT(P)-RANK(OFFSET(P,0,formules!D$63),P,1))/(COUNT(P)-1),""))),"")</f>
        <v/>
      </c>
      <c r="I42" s="98" t="str">
        <f ca="1">IFERROR(IF($D42="Ui",formules!I77,IF($D42="Log(Pi/Pmažiausia)",ROUND(LOG(I11/MIN(P)),3),IF($D42="ĮVERTkaina",(COUNT(P)-RANK(OFFSET(P,0,formules!E$63),P,1))/(COUNT(P)-1),""))),"")</f>
        <v/>
      </c>
      <c r="J42" s="98" t="str">
        <f ca="1">IFERROR(IF($D42="Ui",formules!J77,IF($D42="Log(Pi/Pmažiausia)",ROUND(LOG(J11/MIN(P)),3),IF($D42="ĮVERTkaina",(COUNT(P)-RANK(OFFSET(P,0,formules!F$63),P,1))/(COUNT(P)-1),""))),"")</f>
        <v/>
      </c>
      <c r="K42" s="98" t="str">
        <f ca="1">IFERROR(IF($D42="Ui",formules!K77,IF($D42="Log(Pi/Pmažiausia)",ROUND(LOG(K11/MIN(P)),3),IF($D42="ĮVERTkaina",(COUNT(P)-RANK(OFFSET(P,0,formules!G$63),P,1))/(COUNT(P)-1),""))),"")</f>
        <v/>
      </c>
      <c r="L42" s="98" t="str">
        <f ca="1">IFERROR(IF($D42="Ui",formules!L77,IF($D42="Log(Pi/Pmažiausia)",ROUND(LOG(L11/MIN(P)),3),IF($D42="ĮVERTkaina",(COUNT(P)-RANK(OFFSET(P,0,formules!H$63),P,1))/(COUNT(P)-1),""))),"")</f>
        <v/>
      </c>
      <c r="M42" s="98" t="str">
        <f ca="1">IFERROR(IF($D42="Ui",formules!M77,IF($D42="Log(Pi/Pmažiausia)",ROUND(LOG(M11/MIN(P)),3),IF($D42="ĮVERTkaina",(COUNT(P)-RANK(OFFSET(P,0,formules!I$63),P,1))/(COUNT(P)-1),""))),"")</f>
        <v/>
      </c>
      <c r="N42" s="98" t="str">
        <f ca="1">IFERROR(IF($D42="Ui",formules!N77,IF($D42="Log(Pi/Pmažiausia)",ROUND(LOG(N11/MIN(P)),3),IF($D42="ĮVERTkaina",(COUNT(P)-RANK(OFFSET(P,0,formules!J$63),P,1))/(COUNT(P)-1),""))),"")</f>
        <v/>
      </c>
      <c r="O42" s="139" t="str">
        <f ca="1">IFERROR(IF($D42="Ui",formules!O77,IF($D42="Log(Pi/Pmažiausia)",ROUND(LOG(O11/MIN(P)),3),IF($D42="ĮVERTkaina",(COUNT(P)-RANK(OFFSET(P,0,formules!K$63),P,1))/(COUNT(P)-1),""))),"")</f>
        <v/>
      </c>
      <c r="P42" s="148">
        <f>IF(P40=version!A2,1,0)</f>
        <v>0</v>
      </c>
    </row>
    <row r="43" spans="1:17" ht="15.75" thickBot="1" x14ac:dyDescent="0.3">
      <c r="A43" s="96"/>
      <c r="B43" s="97"/>
      <c r="C43" s="97"/>
      <c r="D43" s="194" t="str">
        <f>IF(D42="Ui","BBi","")</f>
        <v/>
      </c>
      <c r="E43" s="194"/>
      <c r="F43" s="99" t="str">
        <f>IFERROR(IF($D$43="BBi",formules!F78,""),"")</f>
        <v/>
      </c>
      <c r="G43" s="99" t="str">
        <f>IFERROR(IF($D$43="BBi",formules!G78,""),"")</f>
        <v/>
      </c>
      <c r="H43" s="99" t="str">
        <f>IFERROR(IF($D$43="BBi",formules!H78,""),"")</f>
        <v/>
      </c>
      <c r="I43" s="99" t="str">
        <f>IFERROR(IF($D$43="BBi",formules!I78,""),"")</f>
        <v/>
      </c>
      <c r="J43" s="99" t="str">
        <f>IFERROR(IF($D$43="BBi",formules!J78,""),"")</f>
        <v/>
      </c>
      <c r="K43" s="99" t="str">
        <f>IFERROR(IF($D$43="BBi",formules!K78,""),"")</f>
        <v/>
      </c>
      <c r="L43" s="99" t="str">
        <f>IFERROR(IF($D$43="BBi",formules!L78,""),"")</f>
        <v/>
      </c>
      <c r="M43" s="99" t="str">
        <f>IFERROR(IF($D$43="BBi",formules!M78,""),"")</f>
        <v/>
      </c>
      <c r="N43" s="99" t="str">
        <f>IFERROR(IF($D$43="BBi",formules!N78,""),"")</f>
        <v/>
      </c>
      <c r="O43" s="140" t="str">
        <f>IFERROR(IF($D$43="BBi",formules!O78,""),"")</f>
        <v/>
      </c>
      <c r="P43" s="128"/>
    </row>
    <row r="44" spans="1:17" x14ac:dyDescent="0.25">
      <c r="A44" s="120"/>
      <c r="B44" s="119"/>
      <c r="C44" s="119"/>
      <c r="D44" s="121"/>
      <c r="E44" s="121"/>
      <c r="F44" s="127"/>
      <c r="G44" s="127"/>
      <c r="H44" s="127"/>
      <c r="I44" s="127"/>
      <c r="J44" s="127"/>
      <c r="K44" s="127"/>
      <c r="L44" s="127"/>
      <c r="M44" s="127"/>
      <c r="N44" s="127"/>
      <c r="O44" s="127"/>
      <c r="P44" s="17"/>
    </row>
    <row r="45" spans="1:17" x14ac:dyDescent="0.25">
      <c r="D45" s="17"/>
    </row>
    <row r="46" spans="1:17" x14ac:dyDescent="0.25">
      <c r="G46" s="154"/>
    </row>
    <row r="49" spans="21:29" x14ac:dyDescent="0.25">
      <c r="U49" s="184"/>
      <c r="V49" s="184"/>
      <c r="W49" s="184"/>
      <c r="X49" s="184"/>
      <c r="Y49" s="184"/>
      <c r="Z49" s="184"/>
      <c r="AA49" s="184"/>
      <c r="AB49" s="184"/>
      <c r="AC49" s="184"/>
    </row>
    <row r="50" spans="21:29" ht="22.5" customHeight="1" x14ac:dyDescent="0.25"/>
    <row r="51" spans="21:29" ht="22.5" customHeight="1" x14ac:dyDescent="0.25"/>
    <row r="52" spans="21:29" ht="22.5" customHeight="1" x14ac:dyDescent="0.25"/>
    <row r="53" spans="21:29" ht="22.5" customHeight="1" x14ac:dyDescent="0.25"/>
    <row r="54" spans="21:29" ht="22.5" customHeight="1" x14ac:dyDescent="0.25"/>
    <row r="55" spans="21:29" ht="22.5" customHeight="1" x14ac:dyDescent="0.25"/>
    <row r="56" spans="21:29" ht="22.5" customHeight="1" x14ac:dyDescent="0.25"/>
    <row r="57" spans="21:29" ht="22.5" customHeight="1" x14ac:dyDescent="0.25"/>
    <row r="58" spans="21:29" ht="22.5" customHeight="1" x14ac:dyDescent="0.25"/>
    <row r="59" spans="21:29" ht="22.5" customHeight="1" x14ac:dyDescent="0.25"/>
    <row r="60" spans="21:29" ht="22.5" customHeight="1" x14ac:dyDescent="0.25"/>
    <row r="61" spans="21:29" ht="22.5" customHeight="1" x14ac:dyDescent="0.25"/>
    <row r="62" spans="21:29" ht="22.5" customHeight="1" x14ac:dyDescent="0.25"/>
    <row r="63" spans="21:29" ht="22.5" customHeight="1" x14ac:dyDescent="0.25"/>
    <row r="64" spans="21:29" ht="22.5" customHeight="1" x14ac:dyDescent="0.25"/>
  </sheetData>
  <sheetProtection algorithmName="SHA-512" hashValue="bFiwe/Z6UwO3lCJ44rys/Tpa7HHD28sZqY9SHFSonlpClGFbOzYaX8UWJzB6yLZUgir5+IpFjU8abAHPpppjyQ==" saltValue="VXJdbXPy3ym1cIRAaHwNMw==" spinCount="100000" sheet="1" objects="1" scenarios="1" formatCells="0" formatColumns="0" formatRows="0" selectLockedCells="1"/>
  <sortState xmlns:xlrd2="http://schemas.microsoft.com/office/spreadsheetml/2017/richdata2" ref="A71:AO112">
    <sortCondition descending="1" ref="U71:U112"/>
  </sortState>
  <mergeCells count="79">
    <mergeCell ref="U49:AC49"/>
    <mergeCell ref="I2:I4"/>
    <mergeCell ref="N2:N4"/>
    <mergeCell ref="L2:L4"/>
    <mergeCell ref="M2:M4"/>
    <mergeCell ref="K2:K4"/>
    <mergeCell ref="J2:J4"/>
    <mergeCell ref="P12:P13"/>
    <mergeCell ref="D37:O37"/>
    <mergeCell ref="H2:H4"/>
    <mergeCell ref="G2:G4"/>
    <mergeCell ref="F2:F4"/>
    <mergeCell ref="F38:O38"/>
    <mergeCell ref="D43:E43"/>
    <mergeCell ref="D42:E42"/>
    <mergeCell ref="D41:E41"/>
    <mergeCell ref="A12:A13"/>
    <mergeCell ref="C12:C13"/>
    <mergeCell ref="E2:E4"/>
    <mergeCell ref="D2:D4"/>
    <mergeCell ref="C26:C27"/>
    <mergeCell ref="C16:C17"/>
    <mergeCell ref="C18:C19"/>
    <mergeCell ref="C20:C21"/>
    <mergeCell ref="C24:C25"/>
    <mergeCell ref="A22:A23"/>
    <mergeCell ref="B24:B25"/>
    <mergeCell ref="A24:A25"/>
    <mergeCell ref="B26:B27"/>
    <mergeCell ref="A26:A27"/>
    <mergeCell ref="C22:C23"/>
    <mergeCell ref="B22:B23"/>
    <mergeCell ref="B12:B13"/>
    <mergeCell ref="D35:E35"/>
    <mergeCell ref="C28:C29"/>
    <mergeCell ref="C30:C31"/>
    <mergeCell ref="B28:B29"/>
    <mergeCell ref="E24:E25"/>
    <mergeCell ref="D24:D25"/>
    <mergeCell ref="D22:D23"/>
    <mergeCell ref="D18:D19"/>
    <mergeCell ref="E18:E19"/>
    <mergeCell ref="D20:D21"/>
    <mergeCell ref="E20:E21"/>
    <mergeCell ref="E22:E23"/>
    <mergeCell ref="D12:D13"/>
    <mergeCell ref="E12:E13"/>
    <mergeCell ref="E14:E15"/>
    <mergeCell ref="A14:A15"/>
    <mergeCell ref="B14:B15"/>
    <mergeCell ref="B32:C32"/>
    <mergeCell ref="B33:C33"/>
    <mergeCell ref="B16:B17"/>
    <mergeCell ref="B18:B19"/>
    <mergeCell ref="A18:A19"/>
    <mergeCell ref="B20:B21"/>
    <mergeCell ref="A20:A21"/>
    <mergeCell ref="A28:A29"/>
    <mergeCell ref="B30:B31"/>
    <mergeCell ref="A30:A31"/>
    <mergeCell ref="C14:C15"/>
    <mergeCell ref="A16:A17"/>
    <mergeCell ref="A32:A34"/>
    <mergeCell ref="B34:C34"/>
    <mergeCell ref="D14:D15"/>
    <mergeCell ref="E16:E17"/>
    <mergeCell ref="D16:D17"/>
    <mergeCell ref="D40:E40"/>
    <mergeCell ref="E26:E27"/>
    <mergeCell ref="D32:E32"/>
    <mergeCell ref="D33:E33"/>
    <mergeCell ref="D34:E34"/>
    <mergeCell ref="D39:E39"/>
    <mergeCell ref="D38:E38"/>
    <mergeCell ref="D26:D27"/>
    <mergeCell ref="D28:D29"/>
    <mergeCell ref="E28:E29"/>
    <mergeCell ref="D30:D31"/>
    <mergeCell ref="E30:E31"/>
  </mergeCells>
  <phoneticPr fontId="3" type="noConversion"/>
  <conditionalFormatting sqref="A32">
    <cfRule type="cellIs" dxfId="50" priority="74" operator="equal">
      <formula>100</formula>
    </cfRule>
    <cfRule type="cellIs" dxfId="49" priority="91" operator="notEqual">
      <formula>100</formula>
    </cfRule>
  </conditionalFormatting>
  <conditionalFormatting sqref="C12:C31">
    <cfRule type="expression" dxfId="48" priority="76">
      <formula>AND(A12&lt;&gt;"",C12="")</formula>
    </cfRule>
  </conditionalFormatting>
  <conditionalFormatting sqref="D11:E11">
    <cfRule type="expression" dxfId="44" priority="75">
      <formula>AND($D$11=$E$11,$D$11&lt;&gt;"")</formula>
    </cfRule>
  </conditionalFormatting>
  <conditionalFormatting sqref="D12:E12 E13 D14:E14 E15 D16:E16 E17 D18:E18 E19 D20:E20 E21 D22:E22 E23 D24:E24 E25 D26:E26 E27 D28:E28 E29 D30:E30 E31">
    <cfRule type="expression" dxfId="43" priority="11">
      <formula>AND($Q12&gt;4,D12&lt;&gt;"")</formula>
    </cfRule>
    <cfRule type="expression" dxfId="42" priority="12">
      <formula>AND($Q12&gt;4,D12="")</formula>
    </cfRule>
    <cfRule type="expression" dxfId="41" priority="13">
      <formula>$Q12&lt;5</formula>
    </cfRule>
  </conditionalFormatting>
  <conditionalFormatting sqref="D34:E34">
    <cfRule type="expression" dxfId="34" priority="52">
      <formula>AND($B$34&lt;&gt;"",D34="")</formula>
    </cfRule>
    <cfRule type="expression" dxfId="33" priority="54">
      <formula>$B$34=""</formula>
    </cfRule>
    <cfRule type="expression" dxfId="32" priority="55">
      <formula>AND($B$34&lt;&gt;"",D34&lt;&gt;"")</formula>
    </cfRule>
  </conditionalFormatting>
  <conditionalFormatting sqref="D39:O39">
    <cfRule type="expression" dxfId="31" priority="1">
      <formula>$Q$39="z"</formula>
    </cfRule>
  </conditionalFormatting>
  <conditionalFormatting sqref="D40:O41">
    <cfRule type="expression" dxfId="30" priority="3">
      <formula>$Q$39="n"</formula>
    </cfRule>
  </conditionalFormatting>
  <conditionalFormatting sqref="F13:O13">
    <cfRule type="cellIs" dxfId="26" priority="86" operator="greaterThan">
      <formula>$A$12</formula>
    </cfRule>
    <cfRule type="expression" dxfId="25" priority="88">
      <formula>F13&gt;$A$12</formula>
    </cfRule>
  </conditionalFormatting>
  <conditionalFormatting sqref="F15:O15">
    <cfRule type="expression" dxfId="24" priority="87">
      <formula>F15&gt;$A$14</formula>
    </cfRule>
    <cfRule type="cellIs" dxfId="23" priority="85" operator="greaterThan">
      <formula>$A$14</formula>
    </cfRule>
    <cfRule type="expression" dxfId="22" priority="51" stopIfTrue="1">
      <formula>$A$14=""</formula>
    </cfRule>
  </conditionalFormatting>
  <conditionalFormatting sqref="F17:O17">
    <cfRule type="expression" dxfId="21" priority="50">
      <formula>$A$16=""</formula>
    </cfRule>
    <cfRule type="cellIs" dxfId="20" priority="84" operator="greaterThan">
      <formula>$A$16</formula>
    </cfRule>
  </conditionalFormatting>
  <conditionalFormatting sqref="F19:O19">
    <cfRule type="expression" dxfId="19" priority="49">
      <formula>$A$18=""</formula>
    </cfRule>
    <cfRule type="cellIs" dxfId="18" priority="83" operator="greaterThan">
      <formula>$A$18</formula>
    </cfRule>
  </conditionalFormatting>
  <conditionalFormatting sqref="F21:O21">
    <cfRule type="expression" dxfId="17" priority="48">
      <formula>$A$20=""</formula>
    </cfRule>
    <cfRule type="cellIs" dxfId="16" priority="82" operator="greaterThan">
      <formula>$A$20</formula>
    </cfRule>
  </conditionalFormatting>
  <conditionalFormatting sqref="F23:O23">
    <cfRule type="cellIs" dxfId="15" priority="81" operator="greaterThan">
      <formula>$A$22</formula>
    </cfRule>
    <cfRule type="expression" dxfId="14" priority="9">
      <formula>$A$22=""</formula>
    </cfRule>
  </conditionalFormatting>
  <conditionalFormatting sqref="F25:O25">
    <cfRule type="expression" dxfId="13" priority="8">
      <formula>$A$24=""</formula>
    </cfRule>
    <cfRule type="cellIs" dxfId="12" priority="80" operator="greaterThan">
      <formula>$A$24</formula>
    </cfRule>
  </conditionalFormatting>
  <conditionalFormatting sqref="F27:O27">
    <cfRule type="cellIs" dxfId="11" priority="79" operator="greaterThan">
      <formula>$A$26</formula>
    </cfRule>
    <cfRule type="expression" dxfId="10" priority="7">
      <formula>$A$26=""</formula>
    </cfRule>
  </conditionalFormatting>
  <conditionalFormatting sqref="F29:O29">
    <cfRule type="cellIs" dxfId="9" priority="78" operator="greaterThan">
      <formula>$A$28</formula>
    </cfRule>
    <cfRule type="expression" dxfId="8" priority="6">
      <formula>$A$28=""</formula>
    </cfRule>
  </conditionalFormatting>
  <conditionalFormatting sqref="F31:O31">
    <cfRule type="expression" dxfId="7" priority="5">
      <formula>$A$30=""</formula>
    </cfRule>
  </conditionalFormatting>
  <conditionalFormatting sqref="F31:O34">
    <cfRule type="cellIs" dxfId="6" priority="77" operator="greaterThan">
      <formula>$A$30</formula>
    </cfRule>
  </conditionalFormatting>
  <conditionalFormatting sqref="F35:O35">
    <cfRule type="expression" dxfId="4" priority="96">
      <formula>AND(TRUE)</formula>
    </cfRule>
  </conditionalFormatting>
  <conditionalFormatting sqref="I8">
    <cfRule type="iconSet" priority="93">
      <iconSet iconSet="3Symbols2">
        <cfvo type="percent" val="0"/>
        <cfvo type="percent" val="33"/>
        <cfvo type="percent" val="67"/>
      </iconSet>
    </cfRule>
  </conditionalFormatting>
  <dataValidations count="3">
    <dataValidation type="decimal" errorStyle="information" allowBlank="1" showInputMessage="1" showErrorMessage="1" errorTitle="Tik skaičiai" error="Šiuose laukeliuose galima rašyti tik skaičius." sqref="F11:O11" xr:uid="{D3BE57ED-5EAF-4D84-BFE8-AA1AB713B2D1}">
      <formula1>-100000000</formula1>
      <formula2>1000000000</formula2>
    </dataValidation>
    <dataValidation type="decimal" errorStyle="information" allowBlank="1" showInputMessage="1" showErrorMessage="1" errorTitle="Tik skaičiai" error="Galimi tik skaičiai" sqref="D11:E31" xr:uid="{3B97EE23-DC25-4BCA-8972-DD8F3F1E52BC}">
      <formula1>0</formula1>
      <formula2>100000000</formula2>
    </dataValidation>
    <dataValidation type="decimal" allowBlank="1" showInputMessage="1" showErrorMessage="1" errorTitle="Įspėjimas" error="Galimi tik skaičiai !" sqref="A11:A31" xr:uid="{DC8E326C-FE2F-4920-8F63-0E693B85B0A1}">
      <formula1>0</formula1>
      <formula2>100</formula2>
    </dataValidation>
  </dataValidations>
  <pageMargins left="0.70866141732283472" right="0.70866141732283472" top="0.74803149606299213" bottom="0.74803149606299213" header="0.31496062992125984" footer="0.31496062992125984"/>
  <pageSetup paperSize="9"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629" r:id="rId4" name="Button 1389">
              <controlPr defaultSize="0" print="0" autoFill="0" autoPict="0" macro="[0]!SimuliacijaClick">
                <anchor moveWithCells="1" sizeWithCells="1">
                  <from>
                    <xdr:col>10</xdr:col>
                    <xdr:colOff>28575</xdr:colOff>
                    <xdr:row>31</xdr:row>
                    <xdr:rowOff>123825</xdr:rowOff>
                  </from>
                  <to>
                    <xdr:col>10</xdr:col>
                    <xdr:colOff>866775</xdr:colOff>
                    <xdr:row>32</xdr:row>
                    <xdr:rowOff>161925</xdr:rowOff>
                  </to>
                </anchor>
              </controlPr>
            </control>
          </mc:Choice>
        </mc:AlternateContent>
        <mc:AlternateContent xmlns:mc="http://schemas.openxmlformats.org/markup-compatibility/2006">
          <mc:Choice Requires="x14">
            <control shapeId="27397" r:id="rId5" name="Button 2821">
              <controlPr defaultSize="0" print="0" autoFill="0" autoPict="0" macro="[0]!naujaversija">
                <anchor moveWithCells="1" sizeWithCells="1">
                  <from>
                    <xdr:col>15</xdr:col>
                    <xdr:colOff>657225</xdr:colOff>
                    <xdr:row>40</xdr:row>
                    <xdr:rowOff>133350</xdr:rowOff>
                  </from>
                  <to>
                    <xdr:col>15</xdr:col>
                    <xdr:colOff>2295525</xdr:colOff>
                    <xdr:row>42</xdr:row>
                    <xdr:rowOff>28575</xdr:rowOff>
                  </to>
                </anchor>
              </controlPr>
            </control>
          </mc:Choice>
        </mc:AlternateContent>
        <mc:AlternateContent xmlns:mc="http://schemas.openxmlformats.org/markup-compatibility/2006">
          <mc:Choice Requires="x14">
            <control shapeId="27586" r:id="rId6" name="Button 3010">
              <controlPr defaultSize="0" print="0" autoFill="0" autoPict="0" macro="[0]!isvalyti_lentele">
                <anchor moveWithCells="1" sizeWithCells="1">
                  <from>
                    <xdr:col>10</xdr:col>
                    <xdr:colOff>28575</xdr:colOff>
                    <xdr:row>32</xdr:row>
                    <xdr:rowOff>228600</xdr:rowOff>
                  </from>
                  <to>
                    <xdr:col>10</xdr:col>
                    <xdr:colOff>885825</xdr:colOff>
                    <xdr:row>33</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1" id="{00000000-000E-0000-0200-000031000000}">
            <xm:f>formules!$A$72="ne"</xm:f>
            <x14:dxf>
              <font>
                <color theme="6" tint="0.39994506668294322"/>
              </font>
              <fill>
                <patternFill patternType="darkGrid">
                  <bgColor auto="1"/>
                </patternFill>
              </fill>
            </x14:dxf>
          </x14:cfRule>
          <xm:sqref>A11</xm:sqref>
        </x14:conditionalFormatting>
        <x14:conditionalFormatting xmlns:xm="http://schemas.microsoft.com/office/excel/2006/main">
          <x14:cfRule type="expression" priority="132" id="{00000000-000E-0000-0200-000006000000}">
            <xm:f>formules!$A$72="ne"</xm:f>
            <x14:dxf>
              <font>
                <b/>
                <i val="0"/>
                <color theme="2" tint="-0.499984740745262"/>
              </font>
            </x14:dxf>
          </x14:cfRule>
          <xm:sqref>A12:A31</xm:sqref>
        </x14:conditionalFormatting>
        <x14:conditionalFormatting xmlns:xm="http://schemas.microsoft.com/office/excel/2006/main">
          <x14:cfRule type="expression" priority="124" id="{00000000-000E-0000-0200-000042000000}">
            <xm:f>AND(VLOOKUP($C$11,formules!$A$2:$AF82,32,FALSE)=1,D11="")</xm:f>
            <x14:dxf>
              <fill>
                <patternFill>
                  <bgColor rgb="FFFF0000"/>
                </patternFill>
              </fill>
            </x14:dxf>
          </x14:cfRule>
          <x14:cfRule type="expression" priority="123" id="{00000000-000E-0000-0200-000041000000}">
            <xm:f>AND(VLOOKUP($C$11,formules!$A$2:$AF82,32,FALSE)=1,D11&lt;&gt;"")</xm:f>
            <x14:dxf>
              <fill>
                <patternFill>
                  <bgColor rgb="FF92D050"/>
                </patternFill>
              </fill>
            </x14:dxf>
          </x14:cfRule>
          <x14:cfRule type="expression" priority="122" id="{00000000-000E-0000-0200-000040000000}">
            <xm:f>VLOOKUP($C$11,formules!$A$2:$AF82,32,FALSE)&lt;&gt;1</xm:f>
            <x14:dxf>
              <fill>
                <patternFill patternType="darkGrid"/>
              </fill>
            </x14:dxf>
          </x14:cfRule>
          <xm:sqref>D11</xm:sqref>
        </x14:conditionalFormatting>
        <x14:conditionalFormatting xmlns:xm="http://schemas.microsoft.com/office/excel/2006/main">
          <x14:cfRule type="expression" priority="127" id="{00000000-000E-0000-0200-00003F000000}">
            <xm:f>AND(VLOOKUP($C$11,formules!$A$2:$AG82,33,FALSE)=1,D32&lt;&gt;"")</xm:f>
            <x14:dxf>
              <fill>
                <patternFill>
                  <fgColor rgb="FF92D050"/>
                  <bgColor rgb="FF92D050"/>
                </patternFill>
              </fill>
            </x14:dxf>
          </x14:cfRule>
          <x14:cfRule type="expression" priority="125" id="{00000000-000E-0000-0200-00003D000000}">
            <xm:f>AND(VLOOKUP($C$11,formules!$A$2:$AG82,33,FALSE)=1,D32="")</xm:f>
            <x14:dxf>
              <fill>
                <patternFill>
                  <bgColor rgb="FFFF0000"/>
                </patternFill>
              </fill>
            </x14:dxf>
          </x14:cfRule>
          <x14:cfRule type="expression" priority="126" id="{00000000-000E-0000-0200-00003E000000}">
            <xm:f>VLOOKUP($C$11,formules!$A$2:$AG82,33,FALSE)&lt;&gt;1</xm:f>
            <x14:dxf>
              <fill>
                <patternFill patternType="darkGrid"/>
              </fill>
            </x14:dxf>
          </x14:cfRule>
          <xm:sqref>D32:E32</xm:sqref>
        </x14:conditionalFormatting>
        <x14:conditionalFormatting xmlns:xm="http://schemas.microsoft.com/office/excel/2006/main">
          <x14:cfRule type="expression" priority="128" id="{00000000-000E-0000-0200-00003A000000}">
            <xm:f>AND(VLOOKUP($C$11,formules!$A$2:$AN82,34,FALSE)=1,D33&lt;&gt;"")</xm:f>
            <x14:dxf>
              <fill>
                <patternFill>
                  <bgColor rgb="FF92D050"/>
                </patternFill>
              </fill>
            </x14:dxf>
          </x14:cfRule>
          <x14:cfRule type="expression" priority="129" id="{00000000-000E-0000-0200-00003B000000}">
            <xm:f>VLOOKUP($C$11,formules!$A$2:$AN82,34,FALSE)&lt;&gt;1</xm:f>
            <x14:dxf>
              <fill>
                <patternFill patternType="darkGrid"/>
              </fill>
            </x14:dxf>
          </x14:cfRule>
          <x14:cfRule type="expression" priority="130" id="{00000000-000E-0000-0200-00003C000000}">
            <xm:f>AND(VLOOKUP($C$11,formules!$A$2:$AN82,34,FALSE)=1,D33="")</xm:f>
            <x14:dxf>
              <fill>
                <patternFill>
                  <bgColor rgb="FFFF0000"/>
                </patternFill>
              </fill>
            </x14:dxf>
          </x14:cfRule>
          <xm:sqref>D33:E33</xm:sqref>
        </x14:conditionalFormatting>
        <x14:conditionalFormatting xmlns:xm="http://schemas.microsoft.com/office/excel/2006/main">
          <x14:cfRule type="expression" priority="121" id="{00000000-000E-0000-0200-000045000000}">
            <xm:f>VLOOKUP($C$11,formules!$A$2:$AE82,31,FALSE)&lt;&gt;1</xm:f>
            <x14:dxf>
              <fill>
                <patternFill patternType="darkGrid"/>
              </fill>
              <border>
                <vertical/>
                <horizontal/>
              </border>
            </x14:dxf>
          </x14:cfRule>
          <x14:cfRule type="expression" priority="119" id="{00000000-000E-0000-0200-000043000000}">
            <xm:f>AND(VLOOKUP($C$11,formules!$A$2:$AE82,31,FALSE)=1,E11&lt;&gt;"")</xm:f>
            <x14:dxf>
              <fill>
                <patternFill>
                  <bgColor rgb="FF92D050"/>
                </patternFill>
              </fill>
            </x14:dxf>
          </x14:cfRule>
          <x14:cfRule type="expression" priority="120" id="{00000000-000E-0000-0200-000044000000}">
            <xm:f>AND(VLOOKUP($C$11,formules!$A$2:$AE82,31,FALSE)=1,E11="")</xm:f>
            <x14:dxf>
              <fill>
                <patternFill>
                  <bgColor rgb="FFFF0000"/>
                </patternFill>
              </fill>
            </x14:dxf>
          </x14:cfRule>
          <xm:sqref>E11</xm:sqref>
        </x14:conditionalFormatting>
        <x14:conditionalFormatting xmlns:xm="http://schemas.microsoft.com/office/excel/2006/main">
          <x14:cfRule type="expression" priority="95" stopIfTrue="1" id="{00000000-000E-0000-0200-000056000000}">
            <xm:f>AND(VLOOKUP($C$11,formules!$A$2:$AE81,30,FALSE)=0,F35=MAX($F$35:$O$35))</xm:f>
            <x14:dxf>
              <fill>
                <patternFill>
                  <bgColor rgb="FF00B050"/>
                </patternFill>
              </fill>
            </x14:dxf>
          </x14:cfRule>
          <x14:cfRule type="expression" priority="4" stopIfTrue="1" id="{00000000-000E-0000-0200-000055000000}">
            <xm:f>AND(VLOOKUP($C$11,formules!$A$2:$AE81,30,FALSE)=1,F35=MIN($F$35:$O$35))</xm:f>
            <x14:dxf>
              <fill>
                <patternFill>
                  <bgColor rgb="FF00B050"/>
                </patternFill>
              </fill>
            </x14:dxf>
          </x14:cfRule>
          <xm:sqref>F35:O35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Title="Įspėjimas" error="Galima rinktis tik iš sąrašo." xr:uid="{AC7925DB-4CA8-4FDD-81AA-1378DFFED782}">
          <x14:formula1>
            <xm:f>formules!$A$2:$A$43</xm:f>
          </x14:formula1>
          <xm:sqref>C11</xm:sqref>
        </x14:dataValidation>
        <x14:dataValidation type="list" allowBlank="1" showInputMessage="1" showErrorMessage="1" xr:uid="{4B0B4E68-CAFB-4DF7-9BB1-322790899857}">
          <x14:formula1>
            <xm:f>formules!$A$52:$A$55</xm:f>
          </x14:formula1>
          <xm:sqref>C12:C31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DFF4E-EF3C-4EB1-8F83-D91DEFD0533E}">
  <sheetPr codeName="Sheet14"/>
  <dimension ref="A1:AP114"/>
  <sheetViews>
    <sheetView zoomScale="70" zoomScaleNormal="70" workbookViewId="0">
      <selection activeCell="F2" sqref="F2"/>
    </sheetView>
  </sheetViews>
  <sheetFormatPr defaultRowHeight="15" outlineLevelRow="2" x14ac:dyDescent="0.25"/>
  <cols>
    <col min="1" max="1" width="14.7109375" customWidth="1"/>
    <col min="3" max="3" width="11.42578125" customWidth="1"/>
    <col min="4" max="4" width="8.7109375" customWidth="1"/>
    <col min="6" max="6" width="10.140625" customWidth="1"/>
    <col min="16" max="16" width="55.42578125" customWidth="1"/>
    <col min="17" max="17" width="25.7109375" customWidth="1"/>
  </cols>
  <sheetData>
    <row r="1" spans="1:42" ht="45" x14ac:dyDescent="0.25">
      <c r="A1" s="196" t="s">
        <v>50</v>
      </c>
      <c r="B1" s="196"/>
      <c r="C1" s="196"/>
      <c r="D1" s="196"/>
      <c r="E1" s="196"/>
      <c r="F1" s="196"/>
      <c r="G1" s="196"/>
      <c r="H1" s="196"/>
      <c r="I1" s="196"/>
      <c r="J1" s="196"/>
      <c r="K1" s="196"/>
      <c r="L1" s="196"/>
      <c r="M1" s="196"/>
      <c r="N1" s="196"/>
      <c r="O1" s="196"/>
      <c r="P1" s="196"/>
      <c r="U1" s="65" t="s">
        <v>51</v>
      </c>
      <c r="V1" s="65" t="s">
        <v>52</v>
      </c>
      <c r="W1" s="65" t="s">
        <v>53</v>
      </c>
      <c r="X1" s="65">
        <v>2</v>
      </c>
      <c r="Y1" s="65">
        <v>3</v>
      </c>
      <c r="Z1" s="65">
        <v>4</v>
      </c>
      <c r="AA1" s="65" t="s">
        <v>54</v>
      </c>
      <c r="AB1" s="65" t="s">
        <v>55</v>
      </c>
      <c r="AC1" s="65" t="s">
        <v>56</v>
      </c>
      <c r="AD1" s="66" t="s">
        <v>57</v>
      </c>
      <c r="AE1" s="66" t="s">
        <v>58</v>
      </c>
      <c r="AF1" s="67" t="s">
        <v>59</v>
      </c>
      <c r="AG1" s="65" t="s">
        <v>60</v>
      </c>
      <c r="AH1" s="65" t="s">
        <v>61</v>
      </c>
      <c r="AI1" s="65" t="s">
        <v>62</v>
      </c>
      <c r="AJ1" s="65" t="s">
        <v>63</v>
      </c>
      <c r="AK1" s="65" t="s">
        <v>64</v>
      </c>
      <c r="AL1" s="68" t="s">
        <v>65</v>
      </c>
      <c r="AM1" s="69" t="s">
        <v>66</v>
      </c>
      <c r="AN1" s="69" t="s">
        <v>67</v>
      </c>
      <c r="AP1" s="70" t="s">
        <v>68</v>
      </c>
    </row>
    <row r="2" spans="1:42" ht="97.5" customHeight="1" outlineLevel="2" x14ac:dyDescent="0.25">
      <c r="A2" s="101" t="s">
        <v>69</v>
      </c>
      <c r="B2" s="102"/>
      <c r="C2" s="102">
        <v>17</v>
      </c>
      <c r="D2" s="1">
        <v>1</v>
      </c>
      <c r="E2" s="1"/>
      <c r="F2" s="71" t="str">
        <f ca="1">IFERROR(OFFSET(P,0,formules!B$63)/(POWER(OFFSET(Qx,0,formules!B$63),(WQ/WP))),"")</f>
        <v/>
      </c>
      <c r="G2" s="71" t="str">
        <f ca="1">IFERROR(OFFSET(P,0,formules!C$63)/(POWER(OFFSET(Qx,0,formules!C$63),(WQ/WP))),"")</f>
        <v/>
      </c>
      <c r="H2" s="71" t="str">
        <f ca="1">IFERROR(OFFSET(P,0,formules!D$63)/(POWER(OFFSET(Qx,0,formules!D$63),(WQ/WP))),"")</f>
        <v/>
      </c>
      <c r="I2" s="71" t="str">
        <f ca="1">IFERROR(OFFSET(P,0,formules!E$63)/(POWER(OFFSET(Qx,0,formules!E$63),(WQ/WP))),"")</f>
        <v/>
      </c>
      <c r="J2" s="71" t="str">
        <f ca="1">IFERROR(OFFSET(P,0,formules!F$63)/(POWER(OFFSET(Qx,0,formules!F$63),(WQ/WP))),"")</f>
        <v/>
      </c>
      <c r="K2" s="71" t="str">
        <f ca="1">IFERROR(OFFSET(P,0,formules!G$63)/(POWER(OFFSET(Qx,0,formules!G$63),(WQ/WP))),"")</f>
        <v/>
      </c>
      <c r="L2" s="71" t="str">
        <f ca="1">IFERROR(OFFSET(P,0,formules!H$63)/(POWER(OFFSET(Qx,0,formules!H$63),(WQ/WP))),"")</f>
        <v/>
      </c>
      <c r="M2" s="71" t="str">
        <f ca="1">IFERROR(OFFSET(P,0,formules!I$63)/(POWER(OFFSET(Qx,0,formules!I$63),(WQ/WP))),"")</f>
        <v/>
      </c>
      <c r="N2" s="71" t="str">
        <f ca="1">IFERROR(OFFSET(P,0,formules!J$63)/(POWER(OFFSET(Qx,0,formules!J$63),(WQ/WP))),"")</f>
        <v/>
      </c>
      <c r="O2" s="71" t="str">
        <f ca="1">IFERROR(OFFSET(P,0,formules!K$63)/(POWER(OFFSET(Qx,0,formules!K$63),(WQ/WP))),"")</f>
        <v/>
      </c>
      <c r="P2" s="1"/>
      <c r="Q2" s="103" t="str">
        <f>"Wkokybė="&amp;WQ&amp;"; Wkaina="&amp;WP</f>
        <v>Wkokybė=8; Wkaina=92</v>
      </c>
      <c r="S2" t="s">
        <v>70</v>
      </c>
      <c r="U2" s="1">
        <v>2</v>
      </c>
      <c r="V2" s="1">
        <v>4</v>
      </c>
      <c r="W2" s="1">
        <v>1</v>
      </c>
      <c r="X2" s="72">
        <v>2.8E-3</v>
      </c>
      <c r="Y2" s="72">
        <v>0</v>
      </c>
      <c r="Z2" s="72">
        <v>0</v>
      </c>
      <c r="AA2" s="72">
        <v>0</v>
      </c>
      <c r="AB2" s="72">
        <v>0</v>
      </c>
      <c r="AC2" s="72">
        <v>0</v>
      </c>
      <c r="AD2" s="63">
        <v>1</v>
      </c>
      <c r="AE2" s="63"/>
      <c r="AF2" s="63"/>
      <c r="AG2" s="1"/>
      <c r="AH2" s="1"/>
      <c r="AI2" s="1"/>
      <c r="AJ2" s="1"/>
      <c r="AK2" s="1"/>
      <c r="AL2" s="42">
        <v>2.6200000000000001E-2</v>
      </c>
      <c r="AM2" s="42">
        <v>0</v>
      </c>
      <c r="AN2" s="42">
        <v>0</v>
      </c>
      <c r="AO2">
        <v>17</v>
      </c>
    </row>
    <row r="3" spans="1:42" ht="97.5" customHeight="1" outlineLevel="2" x14ac:dyDescent="0.25">
      <c r="A3" s="101" t="s">
        <v>32</v>
      </c>
      <c r="B3" s="102"/>
      <c r="C3" s="102">
        <v>18</v>
      </c>
      <c r="D3" s="1">
        <v>1</v>
      </c>
      <c r="E3" s="1"/>
      <c r="F3" s="71" t="str">
        <f ca="1">IFERROR(OFFSET(Q,0,formules!B$63)+WP*((pmax-OFFSET(P,0,formules!B$63))/(pmax-pmin)),"")</f>
        <v/>
      </c>
      <c r="G3" s="71" t="str">
        <f ca="1">IFERROR(OFFSET(Q,0,formules!C$63)+WP*((pmax-OFFSET(P,0,formules!C$63))/(pmax-pmin)),"")</f>
        <v/>
      </c>
      <c r="H3" s="71" t="str">
        <f ca="1">IFERROR(OFFSET(Q,0,formules!D$63)+WP*((pmax-OFFSET(P,0,formules!D$63))/(pmax-pmin)),"")</f>
        <v/>
      </c>
      <c r="I3" s="71" t="str">
        <f ca="1">IFERROR(OFFSET(Q,0,formules!E$63)+WP*((pmax-OFFSET(P,0,formules!E$63))/(pmax-pmin)),"")</f>
        <v/>
      </c>
      <c r="J3" s="71" t="str">
        <f ca="1">IFERROR(OFFSET(Q,0,formules!F$63)+WP*((pmax-OFFSET(P,0,formules!F$63))/(pmax-pmin)),"")</f>
        <v/>
      </c>
      <c r="K3" s="71" t="str">
        <f ca="1">IFERROR(OFFSET(Q,0,formules!G$63)+WP*((pmax-OFFSET(P,0,formules!G$63))/(pmax-pmin)),"")</f>
        <v/>
      </c>
      <c r="L3" s="71" t="str">
        <f ca="1">IFERROR(OFFSET(Q,0,formules!H$63)+WP*((pmax-OFFSET(P,0,formules!H$63))/(pmax-pmin)),"")</f>
        <v/>
      </c>
      <c r="M3" s="71" t="str">
        <f ca="1">IFERROR(OFFSET(Q,0,formules!I$63)+WP*((pmax-OFFSET(P,0,formules!I$63))/(pmax-pmin)),"")</f>
        <v/>
      </c>
      <c r="N3" s="71" t="str">
        <f ca="1">IFERROR(OFFSET(Q,0,formules!J$63)+WP*((pmax-OFFSET(P,0,formules!J$63))/(pmax-pmin)),"")</f>
        <v/>
      </c>
      <c r="O3" s="71" t="str">
        <f ca="1">IFERROR(OFFSET(Q,0,formules!K$63)+WP*((pmax-OFFSET(P,0,formules!K$63))/(pmax-pmin)),"")</f>
        <v/>
      </c>
      <c r="P3" s="1"/>
      <c r="Q3" s="103" t="str">
        <f>"Psetmax="&amp;pmax&amp;"€; Psetmin="&amp;pmin&amp;"€; Wkokybė="&amp;WQ&amp;"; Wkaina="&amp;WP</f>
        <v>Psetmax=3313569€; Psetmin=0€; Wkokybė=8; Wkaina=92</v>
      </c>
      <c r="U3" s="1">
        <v>2</v>
      </c>
      <c r="V3" s="1">
        <v>2</v>
      </c>
      <c r="W3" s="1">
        <v>1</v>
      </c>
      <c r="X3" s="72" t="s">
        <v>71</v>
      </c>
      <c r="Y3" s="72" t="s">
        <v>71</v>
      </c>
      <c r="Z3" s="72" t="s">
        <v>71</v>
      </c>
      <c r="AA3" s="72">
        <v>0</v>
      </c>
      <c r="AB3" s="72">
        <v>0</v>
      </c>
      <c r="AC3" s="72" t="s">
        <v>71</v>
      </c>
      <c r="AD3" s="63"/>
      <c r="AE3" s="63">
        <v>1</v>
      </c>
      <c r="AF3" s="73">
        <v>1</v>
      </c>
      <c r="AG3" s="1"/>
      <c r="AH3" s="1"/>
      <c r="AI3" s="1"/>
      <c r="AJ3" s="1"/>
      <c r="AK3" s="1"/>
      <c r="AL3" s="42" t="s">
        <v>71</v>
      </c>
      <c r="AM3" s="42">
        <v>0</v>
      </c>
      <c r="AN3" s="42">
        <v>0</v>
      </c>
      <c r="AO3">
        <v>18</v>
      </c>
    </row>
    <row r="4" spans="1:42" ht="97.5" customHeight="1" x14ac:dyDescent="0.25">
      <c r="A4" s="101" t="s">
        <v>72</v>
      </c>
      <c r="B4" s="102"/>
      <c r="C4" s="102">
        <v>24</v>
      </c>
      <c r="D4" s="1">
        <v>1</v>
      </c>
      <c r="E4" s="90" t="s">
        <v>73</v>
      </c>
      <c r="F4" s="71" t="str">
        <f ca="1">IFERROR(OFFSET(P,0,formules!B$63)-(WQ/WP)*pref*(1-((qmin/100)/OFFSET(Qx,0,formules!B$63))),"")</f>
        <v/>
      </c>
      <c r="G4" s="71" t="str">
        <f ca="1">IFERROR(OFFSET(P,0,formules!C$63)-(WQ/WP)*pref*(1-((qmin/100)/OFFSET(Qx,0,formules!C$63))),"")</f>
        <v/>
      </c>
      <c r="H4" s="71" t="str">
        <f ca="1">IFERROR(OFFSET(P,0,formules!D$63)-(WQ/WP)*pref*(1-((qmin/100)/OFFSET(Qx,0,formules!D$63))),"")</f>
        <v/>
      </c>
      <c r="I4" s="71" t="str">
        <f ca="1">IFERROR(OFFSET(P,0,formules!E$63)-(WQ/WP)*pref*(1-((qmin/100)/OFFSET(Qx,0,formules!E$63))),"")</f>
        <v/>
      </c>
      <c r="J4" s="71" t="str">
        <f ca="1">IFERROR(OFFSET(P,0,formules!F$63)-(WQ/WP)*pref*(1-((qmin/100)/OFFSET(Qx,0,formules!F$63))),"")</f>
        <v/>
      </c>
      <c r="K4" s="71" t="str">
        <f ca="1">IFERROR(OFFSET(P,0,formules!G$63)-(WQ/WP)*pref*(1-((qmin/100)/OFFSET(Qx,0,formules!G$63))),"")</f>
        <v/>
      </c>
      <c r="L4" s="71" t="str">
        <f ca="1">IFERROR(OFFSET(P,0,formules!H$63)-(WQ/WP)*pref*(1-((qmin/100)/OFFSET(Qx,0,formules!H$63))),"")</f>
        <v/>
      </c>
      <c r="M4" s="71" t="str">
        <f ca="1">IFERROR(OFFSET(P,0,formules!I$63)-(WQ/WP)*pref*(1-((qmin/100)/OFFSET(Qx,0,formules!I$63))),"")</f>
        <v/>
      </c>
      <c r="N4" s="71" t="str">
        <f ca="1">IFERROR(OFFSET(P,0,formules!J$63)-(WQ/WP)*pref*(1-((qmin/100)/OFFSET(Qx,0,formules!J$63))),"")</f>
        <v/>
      </c>
      <c r="O4" s="71" t="str">
        <f ca="1">IFERROR(OFFSET(P,0,formules!K$63)-(WQ/WP)*pref*(1-((qmin/100)/OFFSET(Qx,0,formules!K$63))),"")</f>
        <v/>
      </c>
      <c r="P4" s="1"/>
      <c r="Q4" s="103" t="str">
        <f>"Qref="&amp;qmin&amp;"% (arba "&amp;qmin/100&amp;"); Pref="&amp;pref&amp;"€"&amp;"; Wkokybė="&amp;WQ&amp;"; Wkaina="&amp;WP</f>
        <v>Qref=2% (arba 0,02); Pref=5€; Wkokybė=8; Wkaina=92</v>
      </c>
      <c r="S4" t="s">
        <v>70</v>
      </c>
      <c r="U4" s="1">
        <v>2</v>
      </c>
      <c r="V4" s="1">
        <v>3</v>
      </c>
      <c r="W4" s="1">
        <v>1</v>
      </c>
      <c r="X4" s="72" t="s">
        <v>71</v>
      </c>
      <c r="Y4" s="72" t="s">
        <v>71</v>
      </c>
      <c r="Z4" s="72" t="s">
        <v>71</v>
      </c>
      <c r="AA4" s="72">
        <v>0</v>
      </c>
      <c r="AB4" s="72">
        <v>0</v>
      </c>
      <c r="AC4" s="72" t="s">
        <v>71</v>
      </c>
      <c r="AD4" s="63">
        <v>1</v>
      </c>
      <c r="AE4" s="63"/>
      <c r="AF4" s="63"/>
      <c r="AG4" s="1">
        <v>1</v>
      </c>
      <c r="AH4" s="1">
        <v>1</v>
      </c>
      <c r="AI4" s="1"/>
      <c r="AJ4" s="1" t="s">
        <v>60</v>
      </c>
      <c r="AK4" s="1" t="s">
        <v>61</v>
      </c>
      <c r="AL4" s="42" t="s">
        <v>74</v>
      </c>
      <c r="AM4" s="42">
        <v>0</v>
      </c>
      <c r="AN4" s="42">
        <v>0</v>
      </c>
      <c r="AO4">
        <v>24</v>
      </c>
    </row>
    <row r="5" spans="1:42" ht="97.5" customHeight="1" x14ac:dyDescent="0.25">
      <c r="A5" s="101" t="s">
        <v>75</v>
      </c>
      <c r="B5" s="102"/>
      <c r="C5" s="102">
        <v>25</v>
      </c>
      <c r="D5" s="1">
        <v>1</v>
      </c>
      <c r="E5" s="1"/>
      <c r="F5" s="71" t="str">
        <f ca="1">IFERROR(((OFFSET(Qx,0,formules!B$63)*WQ)/(OFFSET(P,0,formules!B$63)*WP)),"")</f>
        <v/>
      </c>
      <c r="G5" s="71" t="str">
        <f ca="1">IFERROR(((OFFSET(Qx,0,formules!C$63)*WQ)/(OFFSET(P,0,formules!C$63)*WP)),"")</f>
        <v/>
      </c>
      <c r="H5" s="71" t="str">
        <f ca="1">IFERROR(((OFFSET(Qx,0,formules!D$63)*WQ)/(OFFSET(P,0,formules!D$63)*WP)),"")</f>
        <v/>
      </c>
      <c r="I5" s="71" t="str">
        <f ca="1">IFERROR(((OFFSET(Qx,0,formules!E$63)*WQ)/(OFFSET(P,0,formules!E$63)*WP)),"")</f>
        <v/>
      </c>
      <c r="J5" s="71" t="str">
        <f ca="1">IFERROR(((OFFSET(Qx,0,formules!F$63)*WQ)/(OFFSET(P,0,formules!F$63)*WP)),"")</f>
        <v/>
      </c>
      <c r="K5" s="71" t="str">
        <f ca="1">IFERROR(((OFFSET(Qx,0,formules!G$63)*WQ)/(OFFSET(P,0,formules!G$63)*WP)),"")</f>
        <v/>
      </c>
      <c r="L5" s="71" t="str">
        <f ca="1">IFERROR(((OFFSET(Qx,0,formules!H$63)*WQ)/(OFFSET(P,0,formules!H$63)*WP)),"")</f>
        <v/>
      </c>
      <c r="M5" s="71" t="str">
        <f ca="1">IFERROR(((OFFSET(Qx,0,formules!I$63)*WQ)/(OFFSET(P,0,formules!I$63)*WP)),"")</f>
        <v/>
      </c>
      <c r="N5" s="71" t="str">
        <f ca="1">IFERROR(((OFFSET(Qx,0,formules!J$63)*WQ)/(OFFSET(P,0,formules!J$63)*WP)),"")</f>
        <v/>
      </c>
      <c r="O5" s="71" t="str">
        <f ca="1">IFERROR(((OFFSET(Qx,0,formules!K$63)*WQ)/(OFFSET(P,0,formules!K$63)*WP)),"")</f>
        <v/>
      </c>
      <c r="P5" s="1"/>
      <c r="Q5" s="104" t="str">
        <f>" Wkokybė="&amp;WQ&amp;"; Wkaina="&amp;WP</f>
        <v xml:space="preserve"> Wkokybė=8; Wkaina=92</v>
      </c>
      <c r="S5" t="s">
        <v>70</v>
      </c>
      <c r="U5" s="1">
        <v>2</v>
      </c>
      <c r="V5" s="1">
        <v>2</v>
      </c>
      <c r="W5" s="1">
        <v>1</v>
      </c>
      <c r="X5" s="72">
        <v>1.7600000000000001E-2</v>
      </c>
      <c r="Y5" s="72">
        <v>1.8100000000000002E-2</v>
      </c>
      <c r="Z5" s="72">
        <v>5.7000000000000002E-3</v>
      </c>
      <c r="AA5" s="72">
        <v>0</v>
      </c>
      <c r="AB5" s="72">
        <v>0</v>
      </c>
      <c r="AC5" s="72">
        <v>0</v>
      </c>
      <c r="AD5" s="63"/>
      <c r="AE5" s="63"/>
      <c r="AF5" s="63"/>
      <c r="AG5" s="1"/>
      <c r="AH5" s="1"/>
      <c r="AI5" s="1"/>
      <c r="AJ5" s="1"/>
      <c r="AK5" s="1"/>
      <c r="AL5" s="42">
        <v>1.5699999999999999E-2</v>
      </c>
      <c r="AM5" s="42">
        <v>0</v>
      </c>
      <c r="AN5" s="42">
        <v>0</v>
      </c>
      <c r="AO5">
        <v>25</v>
      </c>
    </row>
    <row r="6" spans="1:42" ht="97.5" customHeight="1" x14ac:dyDescent="0.25">
      <c r="A6" s="101" t="s">
        <v>76</v>
      </c>
      <c r="B6" s="102"/>
      <c r="C6" s="102">
        <v>26</v>
      </c>
      <c r="D6" s="1">
        <v>1</v>
      </c>
      <c r="E6" s="1"/>
      <c r="F6" s="71" t="str">
        <f ca="1">IFERROR(OFFSET(Qx,0,formules!B$63)/(qmin/100)*WQ+WP*(2-(OFFSET(P,0,formules!B$63)/pref)),"")</f>
        <v/>
      </c>
      <c r="G6" s="71" t="str">
        <f ca="1">IFERROR(OFFSET(Qx,0,formules!C$63)/(qmin/100)*WQ+WP*(2-(OFFSET(P,0,formules!C$63)/pref)),"")</f>
        <v/>
      </c>
      <c r="H6" s="71" t="str">
        <f ca="1">IFERROR(OFFSET(Qx,0,formules!D$63)/(qmin/100)*WQ+WP*(2-(OFFSET(P,0,formules!D$63)/pref)),"")</f>
        <v/>
      </c>
      <c r="I6" s="71" t="str">
        <f ca="1">IFERROR(OFFSET(Qx,0,formules!E$63)/(qmin/100)*WQ+WP*(2-(OFFSET(P,0,formules!E$63)/pref)),"")</f>
        <v/>
      </c>
      <c r="J6" s="71" t="str">
        <f ca="1">IFERROR(OFFSET(Qx,0,formules!F$63)/(qmin/100)*WQ+WP*(2-(OFFSET(P,0,formules!F$63)/pref)),"")</f>
        <v/>
      </c>
      <c r="K6" s="71" t="str">
        <f ca="1">IFERROR(OFFSET(Qx,0,formules!G$63)/(qmin/100)*WQ+WP*(2-(OFFSET(P,0,formules!G$63)/pref)),"")</f>
        <v/>
      </c>
      <c r="L6" s="71" t="str">
        <f ca="1">IFERROR(OFFSET(Qx,0,formules!H$63)/(qmin/100)*WQ+WP*(2-(OFFSET(P,0,formules!H$63)/pref)),"")</f>
        <v/>
      </c>
      <c r="M6" s="71" t="str">
        <f ca="1">IFERROR(OFFSET(Qx,0,formules!I$63)/(qmin/100)*WQ+WP*(2-(OFFSET(P,0,formules!I$63)/pref)),"")</f>
        <v/>
      </c>
      <c r="N6" s="71" t="str">
        <f ca="1">IFERROR(OFFSET(Qx,0,formules!J$63)/(qmin/100)*WQ+WP*(2-(OFFSET(P,0,formules!J$63)/pref)),"")</f>
        <v/>
      </c>
      <c r="O6" s="71" t="str">
        <f ca="1">IFERROR(OFFSET(Qx,0,formules!K$63)/(qmin/100)*WQ+WP*(2-(OFFSET(P,0,formules!K$63)/pref)),"")</f>
        <v/>
      </c>
      <c r="P6" s="1"/>
      <c r="Q6" s="105" t="str">
        <f>"Qref="&amp;qmin&amp;"% (arba "&amp;qmin/100&amp;"); Pref="&amp;pref&amp;"€"&amp;"; Wkokybė="&amp;WQ&amp;"; Wkaina="&amp;WP</f>
        <v>Qref=2% (arba 0,02); Pref=5€; Wkokybė=8; Wkaina=92</v>
      </c>
      <c r="S6" t="s">
        <v>70</v>
      </c>
      <c r="U6" s="1">
        <v>2</v>
      </c>
      <c r="V6" s="1">
        <v>2</v>
      </c>
      <c r="W6" s="1">
        <v>1</v>
      </c>
      <c r="X6" s="72" t="s">
        <v>71</v>
      </c>
      <c r="Y6" s="72" t="s">
        <v>71</v>
      </c>
      <c r="Z6" s="72" t="s">
        <v>71</v>
      </c>
      <c r="AA6" s="72">
        <v>0</v>
      </c>
      <c r="AB6" s="72">
        <v>0</v>
      </c>
      <c r="AC6" s="72" t="s">
        <v>71</v>
      </c>
      <c r="AD6" s="63"/>
      <c r="AE6" s="63"/>
      <c r="AF6" s="63"/>
      <c r="AG6" s="1">
        <v>1</v>
      </c>
      <c r="AH6" s="1">
        <v>1</v>
      </c>
      <c r="AI6" s="1"/>
      <c r="AJ6" s="1" t="s">
        <v>60</v>
      </c>
      <c r="AK6" s="1" t="s">
        <v>61</v>
      </c>
      <c r="AL6" s="42" t="s">
        <v>71</v>
      </c>
      <c r="AM6" s="42">
        <v>0</v>
      </c>
      <c r="AN6" s="42">
        <v>0</v>
      </c>
      <c r="AO6">
        <v>26</v>
      </c>
    </row>
    <row r="7" spans="1:42" ht="97.5" customHeight="1" x14ac:dyDescent="0.25">
      <c r="A7" s="101" t="s">
        <v>77</v>
      </c>
      <c r="B7" s="102"/>
      <c r="C7" s="102">
        <v>27</v>
      </c>
      <c r="D7" s="1">
        <v>1</v>
      </c>
      <c r="E7" s="1"/>
      <c r="F7" s="71" t="str">
        <f ca="1">IFERROR(((POWER(OFFSET(P,0,formules!B$63)/pref,n)+(POWER((1-OFFSET(Qx,0,formules!B$63))/(1-qmin/100),n))))^(1/n),"")</f>
        <v/>
      </c>
      <c r="G7" s="71" t="str">
        <f ca="1">IFERROR(((POWER(OFFSET(P,0,formules!C$63)/pref,n)+(POWER((1-OFFSET(Qx,0,formules!C$63))/(1-qmin/100),n))))^(1/n),"")</f>
        <v/>
      </c>
      <c r="H7" s="71" t="str">
        <f ca="1">IFERROR(((POWER(OFFSET(P,0,formules!D$63)/pref,n)+(POWER((1-OFFSET(Qx,0,formules!D$63))/(1-qmin/100),n))))^(1/n),"")</f>
        <v/>
      </c>
      <c r="I7" s="71" t="str">
        <f ca="1">IFERROR(((POWER(OFFSET(P,0,formules!E$63)/pref,n)+(POWER((1-OFFSET(Qx,0,formules!E$63))/(1-qmin/100),n))))^(1/n),"")</f>
        <v/>
      </c>
      <c r="J7" s="71" t="str">
        <f ca="1">IFERROR(((POWER(OFFSET(P,0,formules!F$63)/pref,n)+(POWER((1-OFFSET(Qx,0,formules!F$63))/(1-qmin/100),n))))^(1/n),"")</f>
        <v/>
      </c>
      <c r="K7" s="71" t="str">
        <f ca="1">IFERROR(((POWER(OFFSET(P,0,formules!G$63)/pref,n)+(POWER((1-OFFSET(Qx,0,formules!G$63))/(1-qmin/100),n))))^(1/n),"")</f>
        <v/>
      </c>
      <c r="L7" s="71" t="str">
        <f ca="1">IFERROR(((POWER(OFFSET(P,0,formules!H$63)/pref,n)+(POWER((1-OFFSET(Qx,0,formules!H$63))/(1-qmin/100),n))))^(1/n),"")</f>
        <v/>
      </c>
      <c r="M7" s="71" t="str">
        <f ca="1">IFERROR(((POWER(OFFSET(P,0,formules!I$63)/pref,n)+(POWER((1-OFFSET(Qx,0,formules!I$63))/(1-qmin/100),n))))^(1/n),"")</f>
        <v/>
      </c>
      <c r="N7" s="71" t="str">
        <f ca="1">IFERROR(((POWER(OFFSET(P,0,formules!J$63)/pref,n)+(POWER((1-OFFSET(Qx,0,formules!J$63))/(1-qmin/100),n))))^(1/n),"")</f>
        <v/>
      </c>
      <c r="O7" s="71" t="str">
        <f ca="1">IFERROR(((POWER(OFFSET(P,0,formules!K$63)/pref,n)+(POWER((1-OFFSET(Qx,0,formules!K$63))/(1-qmin/100),n))))^(1/n),"")</f>
        <v/>
      </c>
      <c r="P7" s="1"/>
      <c r="Q7" s="105" t="str">
        <f>"Q(p=0) ="&amp;qmin&amp;"% (arba "&amp;qmin/100&amp;"); P(q=1)="&amp;pref&amp;"€"&amp;"; n="&amp;n</f>
        <v>Q(p=0) =2% (arba 0,02); P(q=1)=5€; n=1</v>
      </c>
      <c r="S7" t="s">
        <v>70</v>
      </c>
      <c r="U7" s="1">
        <v>2</v>
      </c>
      <c r="V7" s="1">
        <v>4</v>
      </c>
      <c r="W7" s="1">
        <v>1</v>
      </c>
      <c r="X7" s="72" t="s">
        <v>71</v>
      </c>
      <c r="Y7" s="72" t="s">
        <v>71</v>
      </c>
      <c r="Z7" s="72" t="s">
        <v>71</v>
      </c>
      <c r="AA7" s="72">
        <v>0</v>
      </c>
      <c r="AB7" s="72">
        <v>0</v>
      </c>
      <c r="AC7" s="72" t="s">
        <v>71</v>
      </c>
      <c r="AD7" s="63">
        <v>1</v>
      </c>
      <c r="AE7" s="63"/>
      <c r="AF7" s="63"/>
      <c r="AG7" s="1">
        <v>1</v>
      </c>
      <c r="AH7" s="1">
        <v>1</v>
      </c>
      <c r="AI7" s="1">
        <v>1</v>
      </c>
      <c r="AJ7" s="1" t="s">
        <v>78</v>
      </c>
      <c r="AK7" s="1" t="s">
        <v>79</v>
      </c>
      <c r="AL7" s="42" t="s">
        <v>71</v>
      </c>
      <c r="AM7" s="75">
        <v>0</v>
      </c>
      <c r="AN7" s="75">
        <v>0</v>
      </c>
      <c r="AO7">
        <v>27</v>
      </c>
      <c r="AP7" t="s">
        <v>80</v>
      </c>
    </row>
    <row r="8" spans="1:42" ht="97.5" customHeight="1" x14ac:dyDescent="0.25">
      <c r="A8" s="101" t="s">
        <v>81</v>
      </c>
      <c r="B8" s="102"/>
      <c r="C8" s="102">
        <v>14</v>
      </c>
      <c r="D8" s="1">
        <v>1</v>
      </c>
      <c r="E8" s="1"/>
      <c r="F8" s="71" t="str">
        <f ca="1">IFERROR((WP*OFFSET(P,0,formules!B$63)/pmax)+WQ*(qmin/100)/OFFSET(Qx,0,formules!B$63),"")</f>
        <v/>
      </c>
      <c r="G8" s="71" t="str">
        <f ca="1">IFERROR((WP*OFFSET(P,0,formules!C$63)/pmax)+WQ*(qmin/100)/OFFSET(Qx,0,formules!C$63),"")</f>
        <v/>
      </c>
      <c r="H8" s="71" t="str">
        <f ca="1">IFERROR((WP*OFFSET(P,0,formules!D$63)/pmax)+WQ*(qmin/100)/OFFSET(Qx,0,formules!D$63),"")</f>
        <v/>
      </c>
      <c r="I8" s="71" t="str">
        <f ca="1">IFERROR((WP*OFFSET(P,0,formules!E$63)/pmax)+WQ*(qmin/100)/OFFSET(Qx,0,formules!E$63),"")</f>
        <v/>
      </c>
      <c r="J8" s="71" t="str">
        <f ca="1">IFERROR((WP*OFFSET(P,0,formules!F$63)/pmax)+WQ*(qmin/100)/OFFSET(Qx,0,formules!F$63),"")</f>
        <v/>
      </c>
      <c r="K8" s="71" t="str">
        <f ca="1">IFERROR((WP*OFFSET(P,0,formules!G$63)/pmax)+WQ*(qmin/100)/OFFSET(Qx,0,formules!G$63),"")</f>
        <v/>
      </c>
      <c r="L8" s="71" t="str">
        <f ca="1">IFERROR((WP*OFFSET(P,0,formules!H$63)/pmax)+WQ*(qmin/100)/OFFSET(Qx,0,formules!H$63),"")</f>
        <v/>
      </c>
      <c r="M8" s="71" t="str">
        <f ca="1">IFERROR((WP*OFFSET(P,0,formules!I$63)/pmax)+WQ*(qmin/100)/OFFSET(Qx,0,formules!I$63),"")</f>
        <v/>
      </c>
      <c r="N8" s="71" t="str">
        <f ca="1">IFERROR((WP*OFFSET(P,0,formules!J$63)/pmax)+WQ*(qmin/100)/OFFSET(Qx,0,formules!J$63),"")</f>
        <v/>
      </c>
      <c r="O8" s="71" t="str">
        <f ca="1">IFERROR((WP*OFFSET(P,0,formules!K$63)/pmax)+WQ*(qmin/100)/OFFSET(Qx,0,formules!K$63),"")</f>
        <v/>
      </c>
      <c r="P8" s="1"/>
      <c r="Q8" s="103" t="str">
        <f>"QsetMin="&amp;qmin&amp;"% (arba "&amp;qmin/100&amp;"); PSetMax="&amp;pmax&amp;"€"&amp;"; Wkokybė="&amp;WQ&amp;"; Wkaina="&amp;WP</f>
        <v>QsetMin=2% (arba 0,02); PSetMax=3313569€; Wkokybė=8; Wkaina=92</v>
      </c>
      <c r="S8" t="s">
        <v>70</v>
      </c>
      <c r="U8" s="1">
        <v>2</v>
      </c>
      <c r="V8" s="1">
        <v>3</v>
      </c>
      <c r="W8" s="1">
        <v>1</v>
      </c>
      <c r="X8" s="72" t="s">
        <v>71</v>
      </c>
      <c r="Y8" s="72" t="s">
        <v>71</v>
      </c>
      <c r="Z8" s="72" t="s">
        <v>71</v>
      </c>
      <c r="AA8" s="72">
        <v>0</v>
      </c>
      <c r="AB8" s="72">
        <v>0</v>
      </c>
      <c r="AC8" s="72" t="s">
        <v>71</v>
      </c>
      <c r="AD8" s="63">
        <v>1</v>
      </c>
      <c r="AE8" s="73">
        <v>1</v>
      </c>
      <c r="AF8" s="63"/>
      <c r="AG8" s="1">
        <v>1</v>
      </c>
      <c r="AH8" s="1"/>
      <c r="AI8" s="1"/>
      <c r="AJ8" s="1" t="s">
        <v>82</v>
      </c>
      <c r="AK8" s="1"/>
      <c r="AL8" s="42" t="s">
        <v>71</v>
      </c>
      <c r="AM8" s="42">
        <v>0</v>
      </c>
      <c r="AN8" s="42">
        <v>0</v>
      </c>
      <c r="AO8">
        <v>14</v>
      </c>
    </row>
    <row r="9" spans="1:42" ht="97.5" customHeight="1" x14ac:dyDescent="0.25">
      <c r="A9" s="101" t="s">
        <v>83</v>
      </c>
      <c r="B9" s="102"/>
      <c r="C9" s="102">
        <v>28</v>
      </c>
      <c r="D9" s="1">
        <v>1</v>
      </c>
      <c r="E9" s="1"/>
      <c r="F9" s="71" t="str">
        <f ca="1">IFERROR((((POWER(OFFSET(P,0,formules!B$63)/pref,n)+(POWER(2-OFFSET(Qx,0,formules!B$63)/(qmin/100),n))))*0.5)^(1/n),"")</f>
        <v/>
      </c>
      <c r="G9" s="71" t="str">
        <f ca="1">IFERROR((((POWER(OFFSET(P,0,formules!C$63)/pref,n)+(POWER(2-OFFSET(Qx,0,formules!C$63)/(qmin/100),n))))*0.5)^(1/n),"")</f>
        <v/>
      </c>
      <c r="H9" s="71" t="str">
        <f ca="1">IFERROR((((POWER(OFFSET(P,0,formules!D$63)/pref,n)+(POWER(2-OFFSET(Qx,0,formules!D$63)/(qmin/100),n))))*0.5)^(1/n),"")</f>
        <v/>
      </c>
      <c r="I9" s="71" t="str">
        <f ca="1">IFERROR((((POWER(OFFSET(P,0,formules!E$63)/pref,n)+(POWER(2-OFFSET(Qx,0,formules!E$63)/(qmin/100),n))))*0.5)^(1/n),"")</f>
        <v/>
      </c>
      <c r="J9" s="71" t="str">
        <f ca="1">IFERROR((((POWER(OFFSET(P,0,formules!F$63)/pref,n)+(POWER(2-OFFSET(Qx,0,formules!F$63)/(qmin/100),n))))*0.5)^(1/n),"")</f>
        <v/>
      </c>
      <c r="K9" s="71" t="str">
        <f ca="1">IFERROR((((POWER(OFFSET(P,0,formules!G$63)/pref,n)+(POWER(2-OFFSET(Qx,0,formules!G$63)/(qmin/100),n))))*0.5)^(1/n),"")</f>
        <v/>
      </c>
      <c r="L9" s="71" t="str">
        <f ca="1">IFERROR((((POWER(OFFSET(P,0,formules!H$63)/pref,n)+(POWER(2-OFFSET(Qx,0,formules!H$63)/(qmin/100),n))))*0.5)^(1/n),"")</f>
        <v/>
      </c>
      <c r="M9" s="71" t="str">
        <f ca="1">IFERROR((((POWER(OFFSET(P,0,formules!I$63)/pref,n)+(POWER(2-OFFSET(Qx,0,formules!I$63)/(qmin/100),n))))*0.5)^(1/n),"")</f>
        <v/>
      </c>
      <c r="N9" s="71" t="str">
        <f ca="1">IFERROR((((POWER(OFFSET(P,0,formules!J$63)/pref,n)+(POWER(2-OFFSET(Qx,0,formules!J$63)/(qmin/100),n))))*0.5)^(1/n),"")</f>
        <v/>
      </c>
      <c r="O9" s="71" t="str">
        <f ca="1">IFERROR((((POWER(OFFSET(P,0,formules!K$63)/pref,n)+(POWER(2-OFFSET(Qx,0,formules!K$63)/(qmin/100),n))))*0.5)^(1/n),"")</f>
        <v/>
      </c>
      <c r="P9" s="1"/>
      <c r="Q9" s="105" t="str">
        <f>"Qref ="&amp;qmin&amp;"% (arba "&amp;qmin/100&amp;"); Pref="&amp;pref&amp;"€"&amp;"; n="&amp;n</f>
        <v>Qref =2% (arba 0,02); Pref=5€; n=1</v>
      </c>
      <c r="S9" t="s">
        <v>70</v>
      </c>
      <c r="U9" s="1">
        <v>2</v>
      </c>
      <c r="V9" s="1">
        <v>4</v>
      </c>
      <c r="W9" s="1"/>
      <c r="X9" s="72" t="s">
        <v>84</v>
      </c>
      <c r="Y9" s="72" t="s">
        <v>84</v>
      </c>
      <c r="Z9" s="72" t="s">
        <v>84</v>
      </c>
      <c r="AA9" s="72">
        <v>0</v>
      </c>
      <c r="AB9" s="72">
        <v>0</v>
      </c>
      <c r="AC9" s="72" t="s">
        <v>84</v>
      </c>
      <c r="AD9" s="63">
        <v>1</v>
      </c>
      <c r="AE9" s="63"/>
      <c r="AF9" s="63"/>
      <c r="AG9" s="1">
        <v>1</v>
      </c>
      <c r="AH9" s="1">
        <v>1</v>
      </c>
      <c r="AI9" s="1">
        <v>1</v>
      </c>
      <c r="AJ9" s="1" t="s">
        <v>85</v>
      </c>
      <c r="AK9" s="1" t="s">
        <v>86</v>
      </c>
      <c r="AL9" s="42" t="s">
        <v>84</v>
      </c>
      <c r="AM9" s="42">
        <v>0</v>
      </c>
      <c r="AN9" s="42">
        <v>0</v>
      </c>
      <c r="AO9">
        <v>28</v>
      </c>
      <c r="AP9" t="s">
        <v>80</v>
      </c>
    </row>
    <row r="10" spans="1:42" ht="97.5" customHeight="1" x14ac:dyDescent="0.25">
      <c r="A10" s="101" t="s">
        <v>87</v>
      </c>
      <c r="B10" s="102"/>
      <c r="C10" s="102">
        <v>29</v>
      </c>
      <c r="D10" s="1">
        <v>1</v>
      </c>
      <c r="E10" s="1"/>
      <c r="F10" s="71" t="str">
        <f ca="1">IFERROR(OFFSET(Qx,0,formules!B$63)/OFFSET(P,0,formules!B$63)*n*100,"")</f>
        <v/>
      </c>
      <c r="G10" s="71" t="str">
        <f ca="1">IFERROR(OFFSET(Qx,0,formules!C$63)/OFFSET(P,0,formules!C$63)*n*100,"")</f>
        <v/>
      </c>
      <c r="H10" s="71" t="str">
        <f ca="1">IFERROR(OFFSET(Qx,0,formules!D$63)/OFFSET(P,0,formules!D$63)*n*100,"")</f>
        <v/>
      </c>
      <c r="I10" s="71" t="str">
        <f ca="1">IFERROR(OFFSET(Qx,0,formules!E$63)/OFFSET(P,0,formules!E$63)*n*100,"")</f>
        <v/>
      </c>
      <c r="J10" s="71" t="str">
        <f ca="1">IFERROR(OFFSET(Qx,0,formules!F$63)/OFFSET(P,0,formules!F$63)*n*100,"")</f>
        <v/>
      </c>
      <c r="K10" s="71" t="str">
        <f ca="1">IFERROR(OFFSET(Qx,0,formules!G$63)/OFFSET(P,0,formules!G$63)*n*100,"")</f>
        <v/>
      </c>
      <c r="L10" s="71" t="str">
        <f ca="1">IFERROR(OFFSET(Qx,0,formules!H$63)/OFFSET(P,0,formules!H$63)*n*100,"")</f>
        <v/>
      </c>
      <c r="M10" s="71" t="str">
        <f ca="1">IFERROR(OFFSET(Qx,0,formules!I$63)/OFFSET(P,0,formules!I$63)*n*100,"")</f>
        <v/>
      </c>
      <c r="N10" s="71" t="str">
        <f ca="1">IFERROR(OFFSET(Qx,0,formules!J$63)/OFFSET(P,0,formules!J$63)*n*100,"")</f>
        <v/>
      </c>
      <c r="O10" s="71" t="str">
        <f ca="1">IFERROR(OFFSET(Qx,0,formules!K$63)/OFFSET(P,0,formules!K$63)*n*100,"")</f>
        <v/>
      </c>
      <c r="P10" s="1"/>
      <c r="Q10" s="107" t="str">
        <f>"n="&amp;n</f>
        <v>n=1</v>
      </c>
      <c r="S10" t="s">
        <v>70</v>
      </c>
      <c r="U10" s="1">
        <v>2</v>
      </c>
      <c r="V10" s="1">
        <v>2</v>
      </c>
      <c r="W10" s="1"/>
      <c r="X10" s="72" t="s">
        <v>84</v>
      </c>
      <c r="Y10" s="72" t="s">
        <v>84</v>
      </c>
      <c r="Z10" s="72" t="s">
        <v>84</v>
      </c>
      <c r="AA10" s="72">
        <v>0</v>
      </c>
      <c r="AB10" s="72">
        <v>0</v>
      </c>
      <c r="AC10" s="72" t="s">
        <v>84</v>
      </c>
      <c r="AD10" s="63"/>
      <c r="AE10" s="63"/>
      <c r="AF10" s="63"/>
      <c r="AG10" s="1"/>
      <c r="AH10" s="1"/>
      <c r="AI10" s="1"/>
      <c r="AJ10" s="1"/>
      <c r="AK10" s="1"/>
      <c r="AL10" s="42" t="s">
        <v>84</v>
      </c>
      <c r="AM10" s="42">
        <v>0</v>
      </c>
      <c r="AN10" s="42">
        <v>0</v>
      </c>
      <c r="AO10">
        <v>29</v>
      </c>
      <c r="AP10" t="s">
        <v>80</v>
      </c>
    </row>
    <row r="11" spans="1:42" ht="97.5" customHeight="1" x14ac:dyDescent="0.25">
      <c r="A11" s="101" t="s">
        <v>88</v>
      </c>
      <c r="B11" s="102"/>
      <c r="C11" s="102">
        <v>37</v>
      </c>
      <c r="D11" s="1">
        <v>1</v>
      </c>
      <c r="E11" s="1"/>
      <c r="F11" s="71" t="str">
        <f ca="1">IFERROR(POWER(OFFSET(P,0,formules!B$63),(WP/100))/POWER(OFFSET(Qx,0,formules!B$63),(WQ/100)),"")</f>
        <v/>
      </c>
      <c r="G11" s="71" t="str">
        <f ca="1">IFERROR(POWER(OFFSET(P,0,formules!C$63),(WP/100))/POWER(OFFSET(Qx,0,formules!C$63),(WQ/100)),"")</f>
        <v/>
      </c>
      <c r="H11" s="71" t="str">
        <f ca="1">IFERROR(POWER(OFFSET(P,0,formules!D$63),(WP/100))/POWER(OFFSET(Qx,0,formules!D$63),(WQ/100)),"")</f>
        <v/>
      </c>
      <c r="I11" s="71" t="str">
        <f ca="1">IFERROR(POWER(OFFSET(P,0,formules!E$63),(WP/100))/POWER(OFFSET(Qx,0,formules!E$63),(WQ/100)),"")</f>
        <v/>
      </c>
      <c r="J11" s="71" t="str">
        <f ca="1">IFERROR(POWER(OFFSET(P,0,formules!F$63),(WP/100))/POWER(OFFSET(Qx,0,formules!F$63),(WQ/100)),"")</f>
        <v/>
      </c>
      <c r="K11" s="71" t="str">
        <f ca="1">IFERROR(POWER(OFFSET(P,0,formules!G$63),(WP/100))/POWER(OFFSET(Qx,0,formules!G$63),(WQ/100)),"")</f>
        <v/>
      </c>
      <c r="L11" s="71" t="str">
        <f ca="1">IFERROR(POWER(OFFSET(P,0,formules!H$63),(WP/100))/POWER(OFFSET(Qx,0,formules!H$63),(WQ/100)),"")</f>
        <v/>
      </c>
      <c r="M11" s="71" t="str">
        <f ca="1">IFERROR(POWER(OFFSET(P,0,formules!I$63),(WP/100))/POWER(OFFSET(Qx,0,formules!I$63),(WQ/100)),"")</f>
        <v/>
      </c>
      <c r="N11" s="71" t="str">
        <f ca="1">IFERROR(POWER(OFFSET(P,0,formules!J$63),(WP/100))/POWER(OFFSET(Qx,0,formules!J$63),(WQ/100)),"")</f>
        <v/>
      </c>
      <c r="O11" s="71" t="str">
        <f ca="1">IFERROR(POWER(OFFSET(P,0,formules!K$63),(WP/100))/POWER(OFFSET(Qx,0,formules!K$63),(WQ/100)),"")</f>
        <v/>
      </c>
      <c r="P11" s="1"/>
      <c r="Q11" s="106" t="str">
        <f>"Wkaina="&amp;WP/100&amp;";Wkokybė="&amp;WQ/100&amp;" (žiūrėkite formulės aprašymą)"</f>
        <v>Wkaina=0,92;Wkokybė=0,08 (žiūrėkite formulės aprašymą)</v>
      </c>
      <c r="S11" t="s">
        <v>70</v>
      </c>
      <c r="U11" s="1">
        <v>2</v>
      </c>
      <c r="V11" s="1">
        <v>4</v>
      </c>
      <c r="W11" s="1"/>
      <c r="X11" s="72" t="s">
        <v>84</v>
      </c>
      <c r="Y11" s="72" t="s">
        <v>84</v>
      </c>
      <c r="Z11" s="72" t="s">
        <v>84</v>
      </c>
      <c r="AA11" s="72">
        <v>0</v>
      </c>
      <c r="AB11" s="72">
        <v>0</v>
      </c>
      <c r="AC11" s="72" t="s">
        <v>84</v>
      </c>
      <c r="AD11" s="76">
        <v>1</v>
      </c>
      <c r="AE11" s="63"/>
      <c r="AF11" s="63"/>
      <c r="AG11" s="1"/>
      <c r="AH11" s="1"/>
      <c r="AI11" s="1"/>
      <c r="AJ11" s="1"/>
      <c r="AK11" s="1"/>
      <c r="AL11" s="42">
        <v>2.6200000000000001E-2</v>
      </c>
      <c r="AM11" s="42">
        <v>0</v>
      </c>
      <c r="AN11" s="42">
        <v>0</v>
      </c>
      <c r="AO11" t="s">
        <v>89</v>
      </c>
    </row>
    <row r="12" spans="1:42" ht="212.25" customHeight="1" x14ac:dyDescent="0.25">
      <c r="A12" s="101" t="s">
        <v>90</v>
      </c>
      <c r="B12" s="102"/>
      <c r="C12" s="102">
        <v>38</v>
      </c>
      <c r="D12" s="1">
        <v>1</v>
      </c>
      <c r="E12" s="1"/>
      <c r="F12" s="71" t="str">
        <f ca="1">IFERROR((1-(1/(1+EXP(100*qmin*(pref-OFFSET(P,0,formules!B$63))))))*WP+OFFSET(Q,0,formules!B$63),"")</f>
        <v/>
      </c>
      <c r="G12" s="71" t="str">
        <f ca="1">IFERROR((1-(1/(1+EXP(100*qmin*(pref-OFFSET(P,0,formules!C$63))))))*WP+OFFSET(Q,0,formules!C$63),"")</f>
        <v/>
      </c>
      <c r="H12" s="71" t="str">
        <f ca="1">IFERROR((1-(1/(1+EXP(100*qmin*(pref-OFFSET(P,0,formules!D$63))))))*WP+OFFSET(Q,0,formules!D$63),"")</f>
        <v/>
      </c>
      <c r="I12" s="71" t="str">
        <f ca="1">IFERROR((1-(1/(1+EXP(100*qmin*(pref-OFFSET(P,0,formules!E$63))))))*WP+OFFSET(Q,0,formules!E$63),"")</f>
        <v/>
      </c>
      <c r="J12" s="71" t="str">
        <f ca="1">IFERROR((1-(1/(1+EXP(100*qmin*(pref-OFFSET(P,0,formules!F$63))))))*WP+OFFSET(Q,0,formules!F$63),"")</f>
        <v/>
      </c>
      <c r="K12" s="71" t="str">
        <f ca="1">IFERROR((1-(1/(1+EXP(100*qmin*(pref-OFFSET(P,0,formules!G$63))))))*WP+OFFSET(Q,0,formules!G$63),"")</f>
        <v/>
      </c>
      <c r="L12" s="71" t="str">
        <f ca="1">IFERROR((1-(1/(1+EXP(100*qmin*(pref-OFFSET(P,0,formules!H$63))))))*WP+OFFSET(Q,0,formules!H$63),"")</f>
        <v/>
      </c>
      <c r="M12" s="71" t="str">
        <f ca="1">IFERROR((1-(1/(1+EXP(100*qmin*(pref-OFFSET(P,0,formules!I$63))))))*WP+OFFSET(Q,0,formules!I$63),"")</f>
        <v/>
      </c>
      <c r="N12" s="71" t="str">
        <f ca="1">IFERROR((1-(1/(1+EXP(100*qmin*(pref-OFFSET(P,0,formules!J$63))))))*WP+OFFSET(Q,0,formules!J$63),"")</f>
        <v/>
      </c>
      <c r="O12" s="71" t="str">
        <f ca="1">IFERROR((1-(1/(1+EXP(100*qmin*(pref-OFFSET(P,0,formules!K$63))))))*WP+OFFSET(Q,0,formules!K$63),"")</f>
        <v/>
      </c>
      <c r="P12" s="1"/>
      <c r="Q12" s="106" t="str">
        <f>"Wkokybė="&amp;WQ&amp;"; Wkaina="&amp;WP</f>
        <v>Wkokybė=8; Wkaina=92</v>
      </c>
      <c r="U12" s="77">
        <v>2</v>
      </c>
      <c r="V12" s="77">
        <v>6</v>
      </c>
      <c r="W12" s="77"/>
      <c r="X12" s="72" t="s">
        <v>84</v>
      </c>
      <c r="Y12" s="72" t="s">
        <v>84</v>
      </c>
      <c r="Z12" s="72" t="s">
        <v>84</v>
      </c>
      <c r="AA12" s="72">
        <v>0</v>
      </c>
      <c r="AB12" s="72">
        <v>0</v>
      </c>
      <c r="AC12" s="72" t="s">
        <v>84</v>
      </c>
      <c r="AD12" s="78"/>
      <c r="AE12" s="78"/>
      <c r="AF12" s="78"/>
      <c r="AG12" s="77">
        <v>1</v>
      </c>
      <c r="AH12" s="77">
        <v>1</v>
      </c>
      <c r="AI12" s="77"/>
      <c r="AJ12" s="79" t="s">
        <v>91</v>
      </c>
      <c r="AK12" s="77" t="s">
        <v>92</v>
      </c>
      <c r="AL12" s="42" t="s">
        <v>71</v>
      </c>
      <c r="AM12" s="42">
        <v>0</v>
      </c>
      <c r="AN12" s="42">
        <v>0</v>
      </c>
      <c r="AO12" t="s">
        <v>93</v>
      </c>
    </row>
    <row r="13" spans="1:42" ht="97.5" customHeight="1" x14ac:dyDescent="0.25">
      <c r="A13" s="101" t="s">
        <v>94</v>
      </c>
      <c r="B13" s="102"/>
      <c r="C13" s="102">
        <v>39</v>
      </c>
      <c r="D13" s="1">
        <v>1</v>
      </c>
      <c r="E13" s="108"/>
      <c r="F13" s="71" t="str">
        <f ca="1">IFERROR(OFFSET(P,0,formules!B$63)+pref*(qmin-OFFSET(Q,0,formules!B$63)),"")</f>
        <v/>
      </c>
      <c r="G13" s="71" t="str">
        <f ca="1">IFERROR(OFFSET(P,0,formules!C$63)+pref*(qmin-OFFSET(Q,0,formules!C$63)),"")</f>
        <v/>
      </c>
      <c r="H13" s="71" t="str">
        <f ca="1">IFERROR(OFFSET(P,0,formules!D$63)+pref*(qmin-OFFSET(Q,0,formules!D$63)),"")</f>
        <v/>
      </c>
      <c r="I13" s="71" t="str">
        <f ca="1">IFERROR(OFFSET(P,0,formules!E$63)+pref*(qmin-OFFSET(Q,0,formules!E$63)),"")</f>
        <v/>
      </c>
      <c r="J13" s="71" t="str">
        <f ca="1">IFERROR(OFFSET(P,0,formules!F$63)+pref*(qmin-OFFSET(Q,0,formules!F$63)),"")</f>
        <v/>
      </c>
      <c r="K13" s="71" t="str">
        <f ca="1">IFERROR(OFFSET(P,0,formules!G$63)+pref*(qmin-OFFSET(Q,0,formules!G$63)),"")</f>
        <v/>
      </c>
      <c r="L13" s="71" t="str">
        <f ca="1">IFERROR(OFFSET(P,0,formules!H$63)+pref*(qmin-OFFSET(Q,0,formules!H$63)),"")</f>
        <v/>
      </c>
      <c r="M13" s="71" t="str">
        <f ca="1">IFERROR(OFFSET(P,0,formules!I$63)+pref*(qmin-OFFSET(Q,0,formules!I$63)),"")</f>
        <v/>
      </c>
      <c r="N13" s="71" t="str">
        <f ca="1">IFERROR(OFFSET(P,0,formules!J$63)+pref*(qmin-OFFSET(Q,0,formules!J$63)),"")</f>
        <v/>
      </c>
      <c r="O13" s="71" t="str">
        <f ca="1">IFERROR(OFFSET(P,0,formules!K$63)+pref*(qmin-OFFSET(Q,0,formules!K$63)),"")</f>
        <v/>
      </c>
      <c r="P13" s="1"/>
      <c r="Q13" s="106" t="str">
        <f>"Qsetmax="&amp;qmin&amp;" BALŲ; b="&amp;pref&amp;"€"</f>
        <v>Qsetmax=2 BALŲ; b=5€</v>
      </c>
      <c r="S13" t="s">
        <v>95</v>
      </c>
      <c r="U13" s="1">
        <v>2</v>
      </c>
      <c r="V13" s="1">
        <v>2</v>
      </c>
      <c r="W13" s="1"/>
      <c r="X13" s="72" t="s">
        <v>84</v>
      </c>
      <c r="Y13" s="72" t="s">
        <v>84</v>
      </c>
      <c r="Z13" s="72" t="s">
        <v>84</v>
      </c>
      <c r="AA13" s="72">
        <v>0</v>
      </c>
      <c r="AB13" s="72">
        <v>0</v>
      </c>
      <c r="AC13" s="72" t="s">
        <v>84</v>
      </c>
      <c r="AD13" s="63">
        <v>1</v>
      </c>
      <c r="AE13" s="63"/>
      <c r="AF13" s="63"/>
      <c r="AG13" s="1">
        <v>1</v>
      </c>
      <c r="AH13" s="1">
        <v>1</v>
      </c>
      <c r="AI13" s="1"/>
      <c r="AJ13" s="1" t="s">
        <v>96</v>
      </c>
      <c r="AK13" s="1" t="s">
        <v>97</v>
      </c>
      <c r="AL13" s="42" t="s">
        <v>71</v>
      </c>
      <c r="AM13" s="42">
        <v>0</v>
      </c>
      <c r="AN13" s="42">
        <v>0</v>
      </c>
      <c r="AO13" t="s">
        <v>98</v>
      </c>
      <c r="AP13" t="s">
        <v>80</v>
      </c>
    </row>
    <row r="14" spans="1:42" ht="97.5" customHeight="1" x14ac:dyDescent="0.25">
      <c r="A14" s="101" t="s">
        <v>99</v>
      </c>
      <c r="B14" s="102"/>
      <c r="C14" s="102">
        <v>40</v>
      </c>
      <c r="D14" s="1">
        <v>1</v>
      </c>
      <c r="E14" s="108"/>
      <c r="F14" s="71" t="str">
        <f ca="1">IFERROR(OFFSET(P,0,formules!B$63)*(1-(pref/100)*OFFSET(Q,0,formules!B$63)),"")</f>
        <v/>
      </c>
      <c r="G14" s="71" t="str">
        <f ca="1">IFERROR(OFFSET(P,0,formules!C$63)*(1-(pref/100)*OFFSET(Q,0,formules!C$63)),"")</f>
        <v/>
      </c>
      <c r="H14" s="71" t="str">
        <f ca="1">IFERROR(OFFSET(P,0,formules!D$63)*(1-(pref/100)*OFFSET(Q,0,formules!D$63)),"")</f>
        <v/>
      </c>
      <c r="I14" s="71" t="str">
        <f ca="1">IFERROR(OFFSET(P,0,formules!E$63)*(1-(pref/100)*OFFSET(Q,0,formules!E$63)),"")</f>
        <v/>
      </c>
      <c r="J14" s="71" t="str">
        <f ca="1">IFERROR(OFFSET(P,0,formules!F$63)*(1-(pref/100)*OFFSET(Q,0,formules!F$63)),"")</f>
        <v/>
      </c>
      <c r="K14" s="71" t="str">
        <f ca="1">IFERROR(OFFSET(P,0,formules!G$63)*(1-(pref/100)*OFFSET(Q,0,formules!G$63)),"")</f>
        <v/>
      </c>
      <c r="L14" s="71" t="str">
        <f ca="1">IFERROR(OFFSET(P,0,formules!H$63)*(1-(pref/100)*OFFSET(Q,0,formules!H$63)),"")</f>
        <v/>
      </c>
      <c r="M14" s="71" t="str">
        <f ca="1">IFERROR(OFFSET(P,0,formules!I$63)*(1-(pref/100)*OFFSET(Q,0,formules!I$63)),"")</f>
        <v/>
      </c>
      <c r="N14" s="71" t="str">
        <f ca="1">IFERROR(OFFSET(P,0,formules!J$63)*(1-(pref/100)*OFFSET(Q,0,formules!J$63)),"")</f>
        <v/>
      </c>
      <c r="O14" s="71" t="str">
        <f ca="1">IFERROR(OFFSET(P,0,formules!K$63)*(1-(pref/100)*OFFSET(Q,0,formules!K$63)),"")</f>
        <v/>
      </c>
      <c r="P14" s="1"/>
      <c r="Q14" s="106" t="str">
        <f>"b="&amp;pref&amp;"% (arba "&amp;pref/100&amp;") "</f>
        <v xml:space="preserve">b=5% (arba 0,05) </v>
      </c>
      <c r="S14" t="s">
        <v>95</v>
      </c>
      <c r="U14" s="1">
        <v>2</v>
      </c>
      <c r="V14" s="80">
        <v>1</v>
      </c>
      <c r="W14" s="1"/>
      <c r="X14" s="72" t="s">
        <v>84</v>
      </c>
      <c r="Y14" s="72" t="s">
        <v>84</v>
      </c>
      <c r="Z14" s="72" t="s">
        <v>84</v>
      </c>
      <c r="AA14" s="72">
        <v>0</v>
      </c>
      <c r="AB14" s="72">
        <v>0</v>
      </c>
      <c r="AC14" s="72" t="s">
        <v>84</v>
      </c>
      <c r="AD14" s="63">
        <v>1</v>
      </c>
      <c r="AE14" s="63"/>
      <c r="AF14" s="63"/>
      <c r="AG14" s="1"/>
      <c r="AH14" s="1">
        <v>1</v>
      </c>
      <c r="AI14" s="1"/>
      <c r="AJ14" s="1"/>
      <c r="AK14" s="1" t="s">
        <v>100</v>
      </c>
      <c r="AL14" s="42" t="s">
        <v>71</v>
      </c>
      <c r="AM14" s="42">
        <v>0</v>
      </c>
      <c r="AN14" s="42">
        <v>0</v>
      </c>
      <c r="AO14" t="s">
        <v>101</v>
      </c>
      <c r="AP14" t="s">
        <v>80</v>
      </c>
    </row>
    <row r="15" spans="1:42" ht="97.5" customHeight="1" x14ac:dyDescent="0.25">
      <c r="A15" s="101" t="s">
        <v>102</v>
      </c>
      <c r="B15" s="102"/>
      <c r="C15" s="102">
        <v>41</v>
      </c>
      <c r="D15" s="1">
        <v>1</v>
      </c>
      <c r="E15" s="108"/>
      <c r="F15" s="71" t="str">
        <f ca="1">IFERROR(OFFSET(P,0,formules!B$63)*(1-(pref/100)*(OFFSET(Q,0,formules!B$63)-qmin)),"")</f>
        <v/>
      </c>
      <c r="G15" s="71" t="str">
        <f ca="1">IFERROR(OFFSET(P,0,formules!C$63)*(1-(pref/100)*(OFFSET(Q,0,formules!C$63)-qmin)),"")</f>
        <v/>
      </c>
      <c r="H15" s="71" t="str">
        <f ca="1">IFERROR(OFFSET(P,0,formules!D$63)*(1-(pref/100)*(OFFSET(Q,0,formules!D$63)-qmin)),"")</f>
        <v/>
      </c>
      <c r="I15" s="71" t="str">
        <f ca="1">IFERROR(OFFSET(P,0,formules!E$63)*(1-(pref/100)*(OFFSET(Q,0,formules!E$63)-qmin)),"")</f>
        <v/>
      </c>
      <c r="J15" s="71" t="str">
        <f ca="1">IFERROR(OFFSET(P,0,formules!F$63)*(1-(pref/100)*(OFFSET(Q,0,formules!F$63)-qmin)),"")</f>
        <v/>
      </c>
      <c r="K15" s="71" t="str">
        <f ca="1">IFERROR(OFFSET(P,0,formules!G$63)*(1-(pref/100)*(OFFSET(Q,0,formules!G$63)-qmin)),"")</f>
        <v/>
      </c>
      <c r="L15" s="71" t="str">
        <f ca="1">IFERROR(OFFSET(P,0,formules!H$63)*(1-(pref/100)*(OFFSET(Q,0,formules!H$63)-qmin)),"")</f>
        <v/>
      </c>
      <c r="M15" s="71" t="str">
        <f ca="1">IFERROR(OFFSET(P,0,formules!I$63)*(1-(pref/100)*(OFFSET(Q,0,formules!I$63)-qmin)),"")</f>
        <v/>
      </c>
      <c r="N15" s="71" t="str">
        <f ca="1">IFERROR(OFFSET(P,0,formules!J$63)*(1-(pref/100)*(OFFSET(Q,0,formules!J$63)-qmin)),"")</f>
        <v/>
      </c>
      <c r="O15" s="71" t="str">
        <f ca="1">IFERROR(OFFSET(P,0,formules!K$63)*(1-(pref/100)*(OFFSET(Q,0,formules!K$63)-qmin)),"")</f>
        <v/>
      </c>
      <c r="P15" s="1"/>
      <c r="Q15" s="106" t="str">
        <f>"QsetMax="&amp;qmin&amp;"BALŲ; b="&amp;pref&amp;"% (arba "&amp;pref/100&amp;") "</f>
        <v xml:space="preserve">QsetMax=2BALŲ; b=5% (arba 0,05) </v>
      </c>
      <c r="S15" t="s">
        <v>95</v>
      </c>
      <c r="U15" s="1">
        <v>2</v>
      </c>
      <c r="V15" s="80">
        <v>1</v>
      </c>
      <c r="W15" s="1"/>
      <c r="X15" s="72" t="s">
        <v>84</v>
      </c>
      <c r="Y15" s="72" t="s">
        <v>84</v>
      </c>
      <c r="Z15" s="72" t="s">
        <v>84</v>
      </c>
      <c r="AA15" s="72">
        <v>0</v>
      </c>
      <c r="AB15" s="72">
        <v>0</v>
      </c>
      <c r="AC15" s="72" t="s">
        <v>84</v>
      </c>
      <c r="AD15" s="63">
        <v>1</v>
      </c>
      <c r="AE15" s="63"/>
      <c r="AF15" s="63"/>
      <c r="AG15" s="1">
        <v>1</v>
      </c>
      <c r="AH15" s="1">
        <v>1</v>
      </c>
      <c r="AI15" s="1"/>
      <c r="AJ15" s="1" t="s">
        <v>103</v>
      </c>
      <c r="AK15" s="1" t="s">
        <v>100</v>
      </c>
      <c r="AL15" s="42" t="s">
        <v>71</v>
      </c>
      <c r="AM15" s="42">
        <v>0</v>
      </c>
      <c r="AN15" s="42">
        <v>0</v>
      </c>
      <c r="AO15" t="s">
        <v>104</v>
      </c>
      <c r="AP15" t="s">
        <v>80</v>
      </c>
    </row>
    <row r="16" spans="1:42" ht="97.5" customHeight="1" x14ac:dyDescent="0.25">
      <c r="A16" s="101" t="s">
        <v>105</v>
      </c>
      <c r="B16" s="102"/>
      <c r="C16" s="102">
        <v>42</v>
      </c>
      <c r="D16" s="1">
        <v>1</v>
      </c>
      <c r="E16" s="1"/>
      <c r="F16" s="71" t="str">
        <f ca="1">IFERROR(OFFSET(P,0,formules!B$63)-(pref*OFFSET(Q,0,formules!B$63)),"")</f>
        <v/>
      </c>
      <c r="G16" s="71" t="str">
        <f ca="1">IFERROR(OFFSET(P,0,formules!C$63)-(pref*OFFSET(Q,0,formules!C$63)),"")</f>
        <v/>
      </c>
      <c r="H16" s="71" t="str">
        <f ca="1">IFERROR(OFFSET(P,0,formules!D$63)-(pref*OFFSET(Q,0,formules!D$63)),"")</f>
        <v/>
      </c>
      <c r="I16" s="71" t="str">
        <f ca="1">IFERROR(OFFSET(P,0,formules!E$63)-(pref*OFFSET(Q,0,formules!E$63)),"")</f>
        <v/>
      </c>
      <c r="J16" s="71" t="str">
        <f ca="1">IFERROR(OFFSET(P,0,formules!F$63)-(pref*OFFSET(Q,0,formules!F$63)),"")</f>
        <v/>
      </c>
      <c r="K16" s="71" t="str">
        <f ca="1">IFERROR(OFFSET(P,0,formules!G$63)-(pref*OFFSET(Q,0,formules!G$63)),"")</f>
        <v/>
      </c>
      <c r="L16" s="71" t="str">
        <f ca="1">IFERROR(OFFSET(P,0,formules!H$63)-(pref*OFFSET(Q,0,formules!H$63)),"")</f>
        <v/>
      </c>
      <c r="M16" s="71" t="str">
        <f ca="1">IFERROR(OFFSET(P,0,formules!I$63)-(pref*OFFSET(Q,0,formules!I$63)),"")</f>
        <v/>
      </c>
      <c r="N16" s="71" t="str">
        <f ca="1">IFERROR(OFFSET(P,0,formules!J$63)-(pref*OFFSET(Q,0,formules!J$63)),"")</f>
        <v/>
      </c>
      <c r="O16" s="71" t="str">
        <f ca="1">IFERROR(OFFSET(P,0,formules!K$63)-(pref*OFFSET(Q,0,formules!K$63)),"")</f>
        <v/>
      </c>
      <c r="P16" s="1"/>
      <c r="Q16" s="106" t="str">
        <f>"b="&amp;pref&amp;"€"</f>
        <v>b=5€</v>
      </c>
      <c r="S16" t="s">
        <v>95</v>
      </c>
      <c r="U16" s="1">
        <v>2</v>
      </c>
      <c r="V16" s="80">
        <v>2</v>
      </c>
      <c r="W16" s="1"/>
      <c r="X16" s="72"/>
      <c r="Y16" s="72"/>
      <c r="Z16" s="72"/>
      <c r="AA16" s="72"/>
      <c r="AB16" s="72"/>
      <c r="AC16" s="72"/>
      <c r="AD16" s="63">
        <v>1</v>
      </c>
      <c r="AE16" s="63"/>
      <c r="AF16" s="63"/>
      <c r="AG16" s="1"/>
      <c r="AH16" s="1">
        <v>1</v>
      </c>
      <c r="AI16" s="1"/>
      <c r="AJ16" s="1"/>
      <c r="AK16" s="1" t="s">
        <v>97</v>
      </c>
      <c r="AL16" s="42"/>
      <c r="AM16" s="42"/>
      <c r="AN16" s="42"/>
    </row>
    <row r="17" spans="1:41" ht="97.5" customHeight="1" x14ac:dyDescent="0.25">
      <c r="A17" s="101" t="s">
        <v>106</v>
      </c>
      <c r="B17" s="102"/>
      <c r="C17" s="102">
        <v>30</v>
      </c>
      <c r="D17" s="1">
        <v>2</v>
      </c>
      <c r="E17" s="1"/>
      <c r="F17" s="71" t="str">
        <f ca="1">IFERROR(OFFSET(Q,0,formules!B$63)+(WP-WP*LOG(OFFSET(P,0,formules!B$63)/MIN(P))/LOG(n)),"")</f>
        <v/>
      </c>
      <c r="G17" s="71" t="str">
        <f ca="1">IFERROR(OFFSET(Q,0,formules!C$63)+(WP-WP*LOG(OFFSET(P,0,formules!C$63)/MIN(P))/LOG(n)),"")</f>
        <v/>
      </c>
      <c r="H17" s="71" t="str">
        <f ca="1">IFERROR(OFFSET(Q,0,formules!D$63)+(WP-WP*LOG(OFFSET(P,0,formules!D$63)/MIN(P))/LOG(n)),"")</f>
        <v/>
      </c>
      <c r="I17" s="71" t="str">
        <f ca="1">IFERROR(OFFSET(Q,0,formules!E$63)+(WP-WP*LOG(OFFSET(P,0,formules!E$63)/MIN(P))/LOG(n)),"")</f>
        <v/>
      </c>
      <c r="J17" s="71" t="str">
        <f ca="1">IFERROR(OFFSET(Q,0,formules!F$63)+(WP-WP*LOG(OFFSET(P,0,formules!F$63)/MIN(P))/LOG(n)),"")</f>
        <v/>
      </c>
      <c r="K17" s="71" t="str">
        <f ca="1">IFERROR(OFFSET(Q,0,formules!G$63)+(WP-WP*LOG(OFFSET(P,0,formules!G$63)/MIN(P))/LOG(n)),"")</f>
        <v/>
      </c>
      <c r="L17" s="71" t="str">
        <f ca="1">IFERROR(OFFSET(Q,0,formules!H$63)+(WP-WP*LOG(OFFSET(P,0,formules!H$63)/MIN(P))/LOG(n)),"")</f>
        <v/>
      </c>
      <c r="M17" s="71" t="str">
        <f ca="1">IFERROR(OFFSET(Q,0,formules!I$63)+(WP-WP*LOG(OFFSET(P,0,formules!I$63)/MIN(P))/LOG(n)),"")</f>
        <v/>
      </c>
      <c r="N17" s="71" t="str">
        <f ca="1">IFERROR(OFFSET(Q,0,formules!J$63)+(WP-WP*LOG(OFFSET(P,0,formules!J$63)/MIN(P))/LOG(n)),"")</f>
        <v/>
      </c>
      <c r="O17" s="71" t="str">
        <f ca="1">IFERROR(OFFSET(Q,0,formules!K$63)+(WP-WP*LOG(OFFSET(P,0,formules!K$63)/MIN(P))/LOG(n)),"")</f>
        <v/>
      </c>
      <c r="P17" s="1"/>
      <c r="Q17" s="106" t="str">
        <f>"n="&amp;n&amp;"; log(n)="&amp;ROUND(LOG(n),3)&amp;"; Wkokybė="&amp;WQ&amp;"; Wkaina="&amp;WP</f>
        <v>n=1; log(n)=0; Wkokybė=8; Wkaina=92</v>
      </c>
      <c r="R17" t="s">
        <v>107</v>
      </c>
      <c r="U17" s="1">
        <v>2</v>
      </c>
      <c r="V17" s="1">
        <v>1</v>
      </c>
      <c r="W17" s="1"/>
      <c r="X17" s="72" t="s">
        <v>84</v>
      </c>
      <c r="Y17" s="72" t="s">
        <v>84</v>
      </c>
      <c r="Z17" s="72" t="s">
        <v>84</v>
      </c>
      <c r="AA17" s="72" t="s">
        <v>84</v>
      </c>
      <c r="AB17" s="72" t="s">
        <v>84</v>
      </c>
      <c r="AC17" s="72" t="s">
        <v>84</v>
      </c>
      <c r="AD17" s="63"/>
      <c r="AE17" s="63"/>
      <c r="AF17" s="63"/>
      <c r="AG17" s="1"/>
      <c r="AH17" s="1"/>
      <c r="AI17" s="1">
        <v>1</v>
      </c>
      <c r="AJ17" s="1"/>
      <c r="AK17" s="1"/>
      <c r="AL17" s="42" t="s">
        <v>84</v>
      </c>
      <c r="AM17" s="42" t="s">
        <v>84</v>
      </c>
      <c r="AN17" s="42" t="s">
        <v>84</v>
      </c>
      <c r="AO17">
        <v>30</v>
      </c>
    </row>
    <row r="18" spans="1:41" ht="97.5" customHeight="1" x14ac:dyDescent="0.25">
      <c r="A18" s="101" t="s">
        <v>108</v>
      </c>
      <c r="B18" s="102"/>
      <c r="C18" s="102">
        <v>1</v>
      </c>
      <c r="D18" s="1">
        <v>2</v>
      </c>
      <c r="E18" s="1"/>
      <c r="F18" s="71" t="str">
        <f ca="1">IFERROR(WQ*OFFSET(Qx,0,formules!B$63)+WP*MIN(P)/OFFSET(P,0,formules!B$63),"")</f>
        <v/>
      </c>
      <c r="G18" s="71" t="str">
        <f ca="1">IFERROR(WQ*OFFSET(Qx,0,formules!C$63)+WP*MIN(P)/OFFSET(P,0,formules!C$63),"")</f>
        <v/>
      </c>
      <c r="H18" s="71" t="str">
        <f ca="1">IFERROR(WQ*OFFSET(Qx,0,formules!D$63)+WP*MIN(P)/OFFSET(P,0,formules!D$63),"")</f>
        <v/>
      </c>
      <c r="I18" s="71" t="str">
        <f ca="1">IFERROR(WQ*OFFSET(Qx,0,formules!E$63)+WP*MIN(P)/OFFSET(P,0,formules!E$63),"")</f>
        <v/>
      </c>
      <c r="J18" s="71" t="str">
        <f ca="1">IFERROR(WQ*OFFSET(Qx,0,formules!F$63)+WP*MIN(P)/OFFSET(P,0,formules!F$63),"")</f>
        <v/>
      </c>
      <c r="K18" s="71" t="str">
        <f ca="1">IFERROR(WQ*OFFSET(Qx,0,formules!G$63)+WP*MIN(P)/OFFSET(P,0,formules!G$63),"")</f>
        <v/>
      </c>
      <c r="L18" s="71" t="str">
        <f ca="1">IFERROR(WQ*OFFSET(Qx,0,formules!H$63)+WP*MIN(P)/OFFSET(P,0,formules!H$63),"")</f>
        <v/>
      </c>
      <c r="M18" s="71" t="str">
        <f ca="1">IFERROR(WQ*OFFSET(Qx,0,formules!I$63)+WP*MIN(P)/OFFSET(P,0,formules!I$63),"")</f>
        <v/>
      </c>
      <c r="N18" s="71" t="str">
        <f ca="1">IFERROR(WQ*OFFSET(Qx,0,formules!J$63)+WP*MIN(P)/OFFSET(P,0,formules!J$63),"")</f>
        <v/>
      </c>
      <c r="O18" s="71" t="str">
        <f ca="1">IFERROR(WQ*OFFSET(Qx,0,formules!K$63)+WP*MIN(P)/OFFSET(P,0,formules!K$63),"")</f>
        <v/>
      </c>
      <c r="P18" s="1"/>
      <c r="Q18" s="105" t="str">
        <f>"Pmažiausia="&amp;MIN(P)&amp;"€; Wkokybė="&amp;WQ&amp;"; Wkaina="&amp;WP</f>
        <v>Pmažiausia=0€; Wkokybė=8; Wkaina=92</v>
      </c>
      <c r="U18" s="1">
        <v>1</v>
      </c>
      <c r="V18" s="1">
        <v>1</v>
      </c>
      <c r="W18" s="1">
        <v>1</v>
      </c>
      <c r="X18" s="72">
        <v>0</v>
      </c>
      <c r="Y18" s="72">
        <v>0</v>
      </c>
      <c r="Z18" s="72">
        <v>0</v>
      </c>
      <c r="AA18" s="72">
        <v>0</v>
      </c>
      <c r="AB18" s="72">
        <v>8.0000000000000004E-4</v>
      </c>
      <c r="AC18" s="72">
        <v>0</v>
      </c>
      <c r="AD18" s="63"/>
      <c r="AE18" s="63"/>
      <c r="AF18" s="63"/>
      <c r="AG18" s="1"/>
      <c r="AH18" s="1"/>
      <c r="AI18" s="1"/>
      <c r="AJ18" s="1"/>
      <c r="AK18" s="1"/>
      <c r="AL18" s="42">
        <v>0.1047</v>
      </c>
      <c r="AM18" s="42">
        <v>1.9E-2</v>
      </c>
      <c r="AN18" s="42">
        <v>6.9999999999999999E-4</v>
      </c>
      <c r="AO18">
        <v>1</v>
      </c>
    </row>
    <row r="19" spans="1:41" ht="97.5" customHeight="1" x14ac:dyDescent="0.25">
      <c r="A19" s="109" t="s">
        <v>109</v>
      </c>
      <c r="B19" s="102"/>
      <c r="C19" s="102">
        <v>2</v>
      </c>
      <c r="D19" s="1"/>
      <c r="E19" s="1"/>
      <c r="F19" s="71" t="str">
        <f ca="1">IFERROR(IFERROR(OFFSET(Q,0,formules!B$63)+WP*((MAX(P)-OFFSET(P,0,formules!B$63))/(MAX(P)-MIN(P))),OFFSET(Q,0,formules!B$63)+WP),"")</f>
        <v/>
      </c>
      <c r="G19" s="71" t="str">
        <f ca="1">IFERROR(IFERROR(OFFSET(Q,0,formules!C$63)+WP*((MAX(P)-OFFSET(P,0,formules!C$63))/(MAX(P)-MIN(P))),OFFSET(Q,0,formules!C$63)+WP),"")</f>
        <v/>
      </c>
      <c r="H19" s="71" t="str">
        <f ca="1">IFERROR(IFERROR(OFFSET(Q,0,formules!D$63)+WP*((MAX(P)-OFFSET(P,0,formules!D$63))/(MAX(P)-MIN(P))),OFFSET(Q,0,formules!D$63)+WP),"")</f>
        <v/>
      </c>
      <c r="I19" s="71" t="str">
        <f ca="1">IFERROR(IFERROR(OFFSET(Q,0,formules!E$63)+WP*((MAX(P)-OFFSET(P,0,formules!E$63))/(MAX(P)-MIN(P))),OFFSET(Q,0,formules!E$63)+WP),"")</f>
        <v/>
      </c>
      <c r="J19" s="71" t="str">
        <f ca="1">IFERROR(IFERROR(OFFSET(Q,0,formules!F$63)+WP*((MAX(P)-OFFSET(P,0,formules!F$63))/(MAX(P)-MIN(P))),OFFSET(Q,0,formules!F$63)+WP),"")</f>
        <v/>
      </c>
      <c r="K19" s="71" t="str">
        <f ca="1">IFERROR(IFERROR(OFFSET(Q,0,formules!G$63)+WP*((MAX(P)-OFFSET(P,0,formules!G$63))/(MAX(P)-MIN(P))),OFFSET(Q,0,formules!G$63)+WP),"")</f>
        <v/>
      </c>
      <c r="L19" s="71" t="str">
        <f ca="1">IFERROR(IFERROR(OFFSET(Q,0,formules!H$63)+WP*((MAX(P)-OFFSET(P,0,formules!H$63))/(MAX(P)-MIN(P))),OFFSET(Q,0,formules!H$63)+WP),"")</f>
        <v/>
      </c>
      <c r="M19" s="71" t="str">
        <f ca="1">IFERROR(IFERROR(OFFSET(Q,0,formules!I$63)+WP*((MAX(P)-OFFSET(P,0,formules!I$63))/(MAX(P)-MIN(P))),OFFSET(Q,0,formules!I$63)+WP),"")</f>
        <v/>
      </c>
      <c r="N19" s="71" t="str">
        <f ca="1">IFERROR(IFERROR(OFFSET(Q,0,formules!J$63)+WP*((MAX(P)-OFFSET(P,0,formules!J$63))/(MAX(P)-MIN(P))),OFFSET(Q,0,formules!J$63)+WP),"")</f>
        <v/>
      </c>
      <c r="O19" s="71" t="str">
        <f ca="1">IFERROR(IFERROR(OFFSET(Q,0,formules!K$63)+WP*((MAX(P)-OFFSET(P,0,formules!K$63))/(MAX(P)-MIN(P))),OFFSET(Q,0,formules!K$63)+WP),"")</f>
        <v/>
      </c>
      <c r="P19" s="1"/>
      <c r="Q19" s="105" t="str">
        <f>"Pmažiausia="&amp;MIN(P)&amp;"€; Pdidžiausia="&amp;MAX(P)&amp;"€; Wkokybė="&amp;WQ&amp;"; Wkaina="&amp;WP</f>
        <v>Pmažiausia=0€; Pdidžiausia=0€; Wkokybė=8; Wkaina=92</v>
      </c>
      <c r="U19" s="1">
        <v>1</v>
      </c>
      <c r="V19" s="1">
        <v>5</v>
      </c>
      <c r="W19" s="1">
        <v>2</v>
      </c>
      <c r="X19" s="72">
        <v>1.7600000000000001E-2</v>
      </c>
      <c r="Y19" s="72">
        <v>1.8100000000000002E-2</v>
      </c>
      <c r="Z19" s="72">
        <v>5.7000000000000002E-3</v>
      </c>
      <c r="AA19" s="72">
        <v>1.0999999999999999E-2</v>
      </c>
      <c r="AB19" s="72">
        <v>9.1000000000000004E-3</v>
      </c>
      <c r="AC19" s="72">
        <v>0</v>
      </c>
      <c r="AD19" s="63"/>
      <c r="AE19" s="63"/>
      <c r="AF19" s="63"/>
      <c r="AG19" s="1"/>
      <c r="AH19" s="1"/>
      <c r="AI19" s="1"/>
      <c r="AJ19" s="1"/>
      <c r="AK19" s="1"/>
      <c r="AL19" s="42">
        <v>6.8099999999999994E-2</v>
      </c>
      <c r="AM19" s="42">
        <v>4.1500000000000002E-2</v>
      </c>
      <c r="AN19" s="42">
        <v>1.6299999999999999E-2</v>
      </c>
      <c r="AO19">
        <v>2</v>
      </c>
    </row>
    <row r="20" spans="1:41" ht="97.5" customHeight="1" x14ac:dyDescent="0.25">
      <c r="A20" s="109" t="s">
        <v>110</v>
      </c>
      <c r="B20" s="102"/>
      <c r="C20" s="102">
        <v>3</v>
      </c>
      <c r="D20" s="1"/>
      <c r="E20" s="1"/>
      <c r="F20" s="71" t="str">
        <f ca="1">IFERROR(IFERROR(IF(OFFSET(P,0,formules!B$63)&lt;AVERAGE(P),OFFSET(Q,0,formules!B$63)+WP,OFFSET(Q,0,formules!B$63)+WP*((MAX(P)-OFFSET(P,0,formules!B$63))/(MAX(P)-AVERAGE(P)))),OFFSET(Q,0,formules!B$63)+WP),"")</f>
        <v/>
      </c>
      <c r="G20" s="71" t="str">
        <f ca="1">IFERROR(IFERROR(IF(OFFSET(P,0,formules!C$63)&lt;AVERAGE(P),OFFSET(Q,0,formules!C$63)+WP,OFFSET(Q,0,formules!C$63)+WP*((MAX(P)-OFFSET(P,0,formules!C$63))/(MAX(P)-AVERAGE(P)))),OFFSET(Q,0,formules!C$63)+WP),"")</f>
        <v/>
      </c>
      <c r="H20" s="71" t="str">
        <f ca="1">IFERROR(IFERROR(IF(OFFSET(P,0,formules!D$63)&lt;AVERAGE(P),OFFSET(Q,0,formules!D$63)+WP,OFFSET(Q,0,formules!D$63)+WP*((MAX(P)-OFFSET(P,0,formules!D$63))/(MAX(P)-AVERAGE(P)))),OFFSET(Q,0,formules!D$63)+WP),"")</f>
        <v/>
      </c>
      <c r="I20" s="71" t="str">
        <f ca="1">IFERROR(IFERROR(IF(OFFSET(P,0,formules!E$63)&lt;AVERAGE(P),OFFSET(Q,0,formules!E$63)+WP,OFFSET(Q,0,formules!E$63)+WP*((MAX(P)-OFFSET(P,0,formules!E$63))/(MAX(P)-AVERAGE(P)))),OFFSET(Q,0,formules!E$63)+WP),"")</f>
        <v/>
      </c>
      <c r="J20" s="71" t="str">
        <f ca="1">IFERROR(IFERROR(IF(OFFSET(P,0,formules!F$63)&lt;AVERAGE(P),OFFSET(Q,0,formules!F$63)+WP,OFFSET(Q,0,formules!F$63)+WP*((MAX(P)-OFFSET(P,0,formules!F$63))/(MAX(P)-AVERAGE(P)))),OFFSET(Q,0,formules!F$63)+WP),"")</f>
        <v/>
      </c>
      <c r="K20" s="71" t="str">
        <f ca="1">IFERROR(IFERROR(IF(OFFSET(P,0,formules!G$63)&lt;AVERAGE(P),OFFSET(Q,0,formules!G$63)+WP,OFFSET(Q,0,formules!G$63)+WP*((MAX(P)-OFFSET(P,0,formules!G$63))/(MAX(P)-AVERAGE(P)))),OFFSET(Q,0,formules!G$63)+WP),"")</f>
        <v/>
      </c>
      <c r="L20" s="71" t="str">
        <f ca="1">IFERROR(IFERROR(IF(OFFSET(P,0,formules!H$63)&lt;AVERAGE(P),OFFSET(Q,0,formules!H$63)+WP,OFFSET(Q,0,formules!H$63)+WP*((MAX(P)-OFFSET(P,0,formules!H$63))/(MAX(P)-AVERAGE(P)))),OFFSET(Q,0,formules!H$63)+WP),"")</f>
        <v/>
      </c>
      <c r="M20" s="71" t="str">
        <f ca="1">IFERROR(IFERROR(IF(OFFSET(P,0,formules!I$63)&lt;AVERAGE(P),OFFSET(Q,0,formules!I$63)+WP,OFFSET(Q,0,formules!I$63)+WP*((MAX(P)-OFFSET(P,0,formules!I$63))/(MAX(P)-AVERAGE(P)))),OFFSET(Q,0,formules!I$63)+WP),"")</f>
        <v/>
      </c>
      <c r="N20" s="71" t="str">
        <f ca="1">IFERROR(IFERROR(IF(OFFSET(P,0,formules!J$63)&lt;AVERAGE(P),OFFSET(Q,0,formules!J$63)+WP,OFFSET(Q,0,formules!J$63)+WP*((MAX(P)-OFFSET(P,0,formules!J$63))/(MAX(P)-AVERAGE(P)))),OFFSET(Q,0,formules!J$63)+WP),"")</f>
        <v/>
      </c>
      <c r="O20" s="71" t="str">
        <f ca="1">IFERROR(IFERROR(IF(OFFSET(P,0,formules!K$63)&lt;AVERAGE(P),OFFSET(Q,0,formules!K$63)+WP,OFFSET(Q,0,formules!K$63)+WP*((MAX(P)-OFFSET(P,0,formules!K$63))/(MAX(P)-AVERAGE(P)))),OFFSET(Q,0,formules!K$63)+WP),"")</f>
        <v/>
      </c>
      <c r="P20" s="1"/>
      <c r="Q20" s="110" t="e">
        <f>"Pmažiausia="&amp;MIN(P)&amp;"€; Pdidžiausia="&amp;MAX(P)&amp;"€; Wkokybė="&amp;WQ&amp;"; Wkaina="&amp;WP&amp;"; Pvidurkis="&amp;AVERAGE(P)</f>
        <v>#DIV/0!</v>
      </c>
      <c r="U20" s="1">
        <v>1</v>
      </c>
      <c r="V20" s="1">
        <v>5</v>
      </c>
      <c r="W20" s="1">
        <v>2</v>
      </c>
      <c r="X20" s="72">
        <v>1.17E-2</v>
      </c>
      <c r="Y20" s="72">
        <v>1.0800000000000001E-2</v>
      </c>
      <c r="Z20" s="72">
        <v>0</v>
      </c>
      <c r="AA20" s="72">
        <v>8.7900000000000006E-2</v>
      </c>
      <c r="AB20" s="72">
        <v>7.5300000000000006E-2</v>
      </c>
      <c r="AC20" s="72">
        <v>0</v>
      </c>
      <c r="AD20" s="63"/>
      <c r="AE20" s="63"/>
      <c r="AF20" s="63"/>
      <c r="AG20" s="1"/>
      <c r="AH20" s="1"/>
      <c r="AI20" s="1"/>
      <c r="AJ20" s="1"/>
      <c r="AK20" s="1"/>
      <c r="AL20" s="42">
        <v>0.75900000000000001</v>
      </c>
      <c r="AM20" s="42">
        <v>5.4300000000000001E-2</v>
      </c>
      <c r="AN20" s="42">
        <v>5.4100000000000002E-2</v>
      </c>
      <c r="AO20">
        <v>3</v>
      </c>
    </row>
    <row r="21" spans="1:41" ht="97.5" customHeight="1" x14ac:dyDescent="0.25">
      <c r="A21" s="109" t="s">
        <v>111</v>
      </c>
      <c r="B21" s="102"/>
      <c r="C21" s="102">
        <v>4</v>
      </c>
      <c r="D21" s="1"/>
      <c r="E21" s="1"/>
      <c r="F21" s="71" t="str">
        <f ca="1">IFERROR(IFERROR(WP*((OFFSET(P,0,formules!B$63)-MAX(P))/(MAX(P)-MIN(P)))-OFFSET(Q,0,formules!B$63),WP-OFFSET(Q,0,formules!B$63)),"")</f>
        <v/>
      </c>
      <c r="G21" s="71" t="str">
        <f ca="1">IFERROR(IFERROR(WP*((OFFSET(P,0,formules!C$63)-MAX(P))/(MAX(P)-MIN(P)))-OFFSET(Q,0,formules!C$63),WP-OFFSET(Q,0,formules!C$63)),"")</f>
        <v/>
      </c>
      <c r="H21" s="71" t="str">
        <f ca="1">IFERROR(IFERROR(WP*((OFFSET(P,0,formules!D$63)-MAX(P))/(MAX(P)-MIN(P)))-OFFSET(Q,0,formules!D$63),WP-OFFSET(Q,0,formules!D$63)),"")</f>
        <v/>
      </c>
      <c r="I21" s="71" t="str">
        <f ca="1">IFERROR(IFERROR(WP*((OFFSET(P,0,formules!E$63)-MAX(P))/(MAX(P)-MIN(P)))-OFFSET(Q,0,formules!E$63),WP-OFFSET(Q,0,formules!E$63)),"")</f>
        <v/>
      </c>
      <c r="J21" s="71" t="str">
        <f ca="1">IFERROR(IFERROR(WP*((OFFSET(P,0,formules!F$63)-MAX(P))/(MAX(P)-MIN(P)))-OFFSET(Q,0,formules!F$63),WP-OFFSET(Q,0,formules!F$63)),"")</f>
        <v/>
      </c>
      <c r="K21" s="71" t="str">
        <f ca="1">IFERROR(IFERROR(WP*((OFFSET(P,0,formules!G$63)-MAX(P))/(MAX(P)-MIN(P)))-OFFSET(Q,0,formules!G$63),WP-OFFSET(Q,0,formules!G$63)),"")</f>
        <v/>
      </c>
      <c r="L21" s="71" t="str">
        <f ca="1">IFERROR(IFERROR(WP*((OFFSET(P,0,formules!H$63)-MAX(P))/(MAX(P)-MIN(P)))-OFFSET(Q,0,formules!H$63),WP-OFFSET(Q,0,formules!H$63)),"")</f>
        <v/>
      </c>
      <c r="M21" s="71" t="str">
        <f ca="1">IFERROR(IFERROR(WP*((OFFSET(P,0,formules!I$63)-MAX(P))/(MAX(P)-MIN(P)))-OFFSET(Q,0,formules!I$63),WP-OFFSET(Q,0,formules!I$63)),"")</f>
        <v/>
      </c>
      <c r="N21" s="71" t="str">
        <f ca="1">IFERROR(IFERROR(WP*((OFFSET(P,0,formules!J$63)-MAX(P))/(MAX(P)-MIN(P)))-OFFSET(Q,0,formules!J$63),WP-OFFSET(Q,0,formules!J$63)),"")</f>
        <v/>
      </c>
      <c r="O21" s="71" t="str">
        <f ca="1">IFERROR(IFERROR(WP*((OFFSET(P,0,formules!K$63)-MAX(P))/(MAX(P)-MIN(P)))-OFFSET(Q,0,formules!K$63),WP-OFFSET(Q,0,formules!K$63)),"")</f>
        <v/>
      </c>
      <c r="P21" s="1"/>
      <c r="Q21" s="107" t="str">
        <f>"Pmažiausia="&amp;MIN(P)&amp;"€; Pdidžiausia="&amp;MAX(P)&amp;"€; Wkokybė="&amp;WQ&amp;"; Wkaina="&amp;WP</f>
        <v>Pmažiausia=0€; Pdidžiausia=0€; Wkokybė=8; Wkaina=92</v>
      </c>
      <c r="U21" s="1">
        <v>1</v>
      </c>
      <c r="V21" s="1">
        <v>5</v>
      </c>
      <c r="W21" s="1">
        <v>2</v>
      </c>
      <c r="X21" s="72">
        <v>1.7600000000000001E-2</v>
      </c>
      <c r="Y21" s="72">
        <v>1.8100000000000002E-2</v>
      </c>
      <c r="Z21" s="72">
        <v>5.7000000000000002E-3</v>
      </c>
      <c r="AA21" s="72">
        <v>1.0999999999999999E-2</v>
      </c>
      <c r="AB21" s="72">
        <v>9.1000000000000004E-3</v>
      </c>
      <c r="AC21" s="72">
        <v>0</v>
      </c>
      <c r="AD21" s="81">
        <v>1</v>
      </c>
      <c r="AE21" s="63"/>
      <c r="AF21" s="63"/>
      <c r="AG21" s="1"/>
      <c r="AH21" s="1"/>
      <c r="AI21" s="1"/>
      <c r="AJ21" s="1"/>
      <c r="AK21" s="1"/>
      <c r="AL21" s="42">
        <v>6.8099999999999994E-2</v>
      </c>
      <c r="AM21" s="42">
        <v>4.1500000000000002E-2</v>
      </c>
      <c r="AN21" s="42">
        <v>1.6299999999999999E-2</v>
      </c>
      <c r="AO21">
        <v>4</v>
      </c>
    </row>
    <row r="22" spans="1:41" ht="97.5" customHeight="1" x14ac:dyDescent="0.25">
      <c r="A22" s="109" t="s">
        <v>112</v>
      </c>
      <c r="B22" s="102"/>
      <c r="C22" s="102">
        <v>5</v>
      </c>
      <c r="D22" s="1"/>
      <c r="E22" s="1"/>
      <c r="F22" s="71" t="str">
        <f ca="1">IFERROR(WP*(OFFSET(P,0,formules!B$63)/AVERAGE(P))-OFFSET(Q,0,formules!B$63),"")</f>
        <v/>
      </c>
      <c r="G22" s="71" t="str">
        <f ca="1">IFERROR(WP*(OFFSET(P,0,formules!C$63)/AVERAGE(P))-OFFSET(Q,0,formules!C$63),"")</f>
        <v/>
      </c>
      <c r="H22" s="71" t="str">
        <f ca="1">IFERROR(WP*(OFFSET(P,0,formules!D$63)/AVERAGE(P))-OFFSET(Q,0,formules!D$63),"")</f>
        <v/>
      </c>
      <c r="I22" s="71" t="str">
        <f ca="1">IFERROR(WP*(OFFSET(P,0,formules!E$63)/AVERAGE(P))-OFFSET(Q,0,formules!E$63),"")</f>
        <v/>
      </c>
      <c r="J22" s="71" t="str">
        <f ca="1">IFERROR(WP*(OFFSET(P,0,formules!F$63)/AVERAGE(P))-OFFSET(Q,0,formules!F$63),"")</f>
        <v/>
      </c>
      <c r="K22" s="71" t="str">
        <f ca="1">IFERROR(WP*(OFFSET(P,0,formules!G$63)/AVERAGE(P))-OFFSET(Q,0,formules!G$63),"")</f>
        <v/>
      </c>
      <c r="L22" s="71" t="str">
        <f ca="1">IFERROR(WP*(OFFSET(P,0,formules!H$63)/AVERAGE(P))-OFFSET(Q,0,formules!H$63),"")</f>
        <v/>
      </c>
      <c r="M22" s="71" t="str">
        <f ca="1">IFERROR(WP*(OFFSET(P,0,formules!I$63)/AVERAGE(P))-OFFSET(Q,0,formules!I$63),"")</f>
        <v/>
      </c>
      <c r="N22" s="71" t="str">
        <f ca="1">IFERROR(WP*(OFFSET(P,0,formules!J$63)/AVERAGE(P))-OFFSET(Q,0,formules!J$63),"")</f>
        <v/>
      </c>
      <c r="O22" s="71" t="str">
        <f ca="1">IFERROR(WP*(OFFSET(P,0,formules!K$63)/AVERAGE(P))-OFFSET(Q,0,formules!K$63),"")</f>
        <v/>
      </c>
      <c r="P22" s="1"/>
      <c r="Q22" s="105" t="e">
        <f>"Pvidurkis="&amp;AVERAGE(P)&amp;"€; Wkokybė="&amp;WQ&amp;"; Wkaina="&amp;WP</f>
        <v>#DIV/0!</v>
      </c>
      <c r="U22" s="1">
        <v>1</v>
      </c>
      <c r="V22" s="1">
        <v>2</v>
      </c>
      <c r="W22" s="1">
        <v>1</v>
      </c>
      <c r="X22" s="72">
        <v>0</v>
      </c>
      <c r="Y22" s="72">
        <v>0</v>
      </c>
      <c r="Z22" s="72">
        <v>0</v>
      </c>
      <c r="AA22" s="72">
        <v>0</v>
      </c>
      <c r="AB22" s="72">
        <v>5.7000000000000002E-3</v>
      </c>
      <c r="AC22" s="72">
        <v>0</v>
      </c>
      <c r="AD22" s="81">
        <v>1</v>
      </c>
      <c r="AE22" s="63"/>
      <c r="AF22" s="63"/>
      <c r="AG22" s="1"/>
      <c r="AH22" s="1"/>
      <c r="AI22" s="1"/>
      <c r="AJ22" s="1"/>
      <c r="AK22" s="1"/>
      <c r="AL22" s="42">
        <v>1.5699999999999999E-2</v>
      </c>
      <c r="AM22" s="42">
        <v>1.2699999999999999E-2</v>
      </c>
      <c r="AN22" s="42">
        <v>4.5999999999999999E-3</v>
      </c>
      <c r="AO22">
        <v>5</v>
      </c>
    </row>
    <row r="23" spans="1:41" ht="97.5" customHeight="1" x14ac:dyDescent="0.25">
      <c r="A23" s="109" t="s">
        <v>113</v>
      </c>
      <c r="B23" s="102"/>
      <c r="C23" s="102">
        <v>6</v>
      </c>
      <c r="D23" s="1"/>
      <c r="E23" s="1"/>
      <c r="F23" s="71" t="str">
        <f ca="1">IFERROR(WP*(1-(OFFSET(P,0,formules!B$63)/MAX(P)))+OFFSET(Q,0,formules!B$63),"")</f>
        <v/>
      </c>
      <c r="G23" s="71" t="str">
        <f ca="1">IFERROR(WP*(1-(OFFSET(P,0,formules!C$63)/MAX(P)))+OFFSET(Q,0,formules!C$63),"")</f>
        <v/>
      </c>
      <c r="H23" s="71" t="str">
        <f ca="1">IFERROR(WP*(1-(OFFSET(P,0,formules!D$63)/MAX(P)))+OFFSET(Q,0,formules!D$63),"")</f>
        <v/>
      </c>
      <c r="I23" s="71" t="str">
        <f ca="1">IFERROR(WP*(1-(OFFSET(P,0,formules!E$63)/MAX(P)))+OFFSET(Q,0,formules!E$63),"")</f>
        <v/>
      </c>
      <c r="J23" s="71" t="str">
        <f ca="1">IFERROR(WP*(1-(OFFSET(P,0,formules!F$63)/MAX(P)))+OFFSET(Q,0,formules!F$63),"")</f>
        <v/>
      </c>
      <c r="K23" s="71" t="str">
        <f ca="1">IFERROR(WP*(1-(OFFSET(P,0,formules!G$63)/MAX(P)))+OFFSET(Q,0,formules!G$63),"")</f>
        <v/>
      </c>
      <c r="L23" s="71" t="str">
        <f ca="1">IFERROR(WP*(1-(OFFSET(P,0,formules!H$63)/MAX(P)))+OFFSET(Q,0,formules!H$63),"")</f>
        <v/>
      </c>
      <c r="M23" s="71" t="str">
        <f ca="1">IFERROR(WP*(1-(OFFSET(P,0,formules!I$63)/MAX(P)))+OFFSET(Q,0,formules!I$63),"")</f>
        <v/>
      </c>
      <c r="N23" s="71" t="str">
        <f ca="1">IFERROR(WP*(1-(OFFSET(P,0,formules!J$63)/MAX(P)))+OFFSET(Q,0,formules!J$63),"")</f>
        <v/>
      </c>
      <c r="O23" s="71" t="str">
        <f ca="1">IFERROR(WP*(1-(OFFSET(P,0,formules!K$63)/MAX(P)))+OFFSET(Q,0,formules!K$63),"")</f>
        <v/>
      </c>
      <c r="P23" s="1"/>
      <c r="Q23" s="105" t="str">
        <f>"Pdidžiausia="&amp;MAX(P)&amp;"€; Wkokybė="&amp;WQ&amp;"; Wkaina="&amp;WP</f>
        <v>Pdidžiausia=0€; Wkokybė=8; Wkaina=92</v>
      </c>
      <c r="U23" s="1">
        <v>1</v>
      </c>
      <c r="V23" s="1">
        <v>2</v>
      </c>
      <c r="W23" s="1">
        <v>2</v>
      </c>
      <c r="X23" s="72">
        <v>0</v>
      </c>
      <c r="Y23" s="72">
        <v>0</v>
      </c>
      <c r="Z23" s="72">
        <v>0</v>
      </c>
      <c r="AA23" s="72">
        <v>0</v>
      </c>
      <c r="AB23" s="72">
        <v>8.0000000000000004E-4</v>
      </c>
      <c r="AC23" s="72">
        <v>0</v>
      </c>
      <c r="AD23" s="63"/>
      <c r="AE23" s="63"/>
      <c r="AF23" s="63"/>
      <c r="AG23" s="1"/>
      <c r="AH23" s="1"/>
      <c r="AI23" s="1"/>
      <c r="AJ23" s="1"/>
      <c r="AK23" s="1"/>
      <c r="AL23" s="42">
        <v>6.8099999999999994E-2</v>
      </c>
      <c r="AM23" s="42">
        <v>0</v>
      </c>
      <c r="AN23" s="42">
        <v>4.5999999999999999E-3</v>
      </c>
      <c r="AO23">
        <v>6</v>
      </c>
    </row>
    <row r="24" spans="1:41" ht="97.5" customHeight="1" x14ac:dyDescent="0.25">
      <c r="A24" s="112" t="s">
        <v>114</v>
      </c>
      <c r="B24" s="102"/>
      <c r="C24" s="102">
        <v>7</v>
      </c>
      <c r="D24" s="1"/>
      <c r="F24" s="71" t="str">
        <f t="shared" ref="F24:O24" ca="1" si="0">IFERROR(F$79,"")</f>
        <v/>
      </c>
      <c r="G24" s="71" t="str">
        <f t="shared" ca="1" si="0"/>
        <v/>
      </c>
      <c r="H24" s="71" t="str">
        <f t="shared" ca="1" si="0"/>
        <v/>
      </c>
      <c r="I24" s="71" t="str">
        <f t="shared" ca="1" si="0"/>
        <v/>
      </c>
      <c r="J24" s="71" t="str">
        <f t="shared" ca="1" si="0"/>
        <v/>
      </c>
      <c r="K24" s="71" t="str">
        <f t="shared" ca="1" si="0"/>
        <v/>
      </c>
      <c r="L24" s="71" t="str">
        <f t="shared" ca="1" si="0"/>
        <v/>
      </c>
      <c r="M24" s="71" t="str">
        <f t="shared" ca="1" si="0"/>
        <v/>
      </c>
      <c r="N24" s="71" t="str">
        <f t="shared" ca="1" si="0"/>
        <v/>
      </c>
      <c r="O24" s="71" t="str">
        <f t="shared" ca="1" si="0"/>
        <v/>
      </c>
      <c r="P24" s="82"/>
      <c r="Q24" s="106" t="str">
        <f>" Wkokybė="&amp;WQ&amp;"; Wkaina="&amp;WP</f>
        <v xml:space="preserve"> Wkokybė=8; Wkaina=92</v>
      </c>
      <c r="R24" t="s">
        <v>115</v>
      </c>
      <c r="S24" t="s">
        <v>70</v>
      </c>
      <c r="U24" s="1">
        <v>1</v>
      </c>
      <c r="V24" s="1">
        <v>2</v>
      </c>
      <c r="W24" s="1">
        <v>1</v>
      </c>
      <c r="X24" s="72">
        <v>0</v>
      </c>
      <c r="Y24" s="72">
        <v>0</v>
      </c>
      <c r="Z24" s="72">
        <v>0</v>
      </c>
      <c r="AA24" s="72">
        <v>2.1299999999999999E-2</v>
      </c>
      <c r="AB24" s="72">
        <v>0</v>
      </c>
      <c r="AC24" s="72">
        <v>0</v>
      </c>
      <c r="AD24" s="63">
        <v>1</v>
      </c>
      <c r="AE24" s="63"/>
      <c r="AF24" s="63"/>
      <c r="AG24" s="1"/>
      <c r="AH24" s="1"/>
      <c r="AI24" s="1"/>
      <c r="AJ24" s="1"/>
      <c r="AK24" s="1"/>
      <c r="AL24" s="42">
        <v>7.0699999999999999E-2</v>
      </c>
      <c r="AM24" s="42">
        <v>6.3500000000000001E-2</v>
      </c>
      <c r="AN24" s="42">
        <v>0</v>
      </c>
      <c r="AO24">
        <v>7</v>
      </c>
    </row>
    <row r="25" spans="1:41" ht="97.5" customHeight="1" x14ac:dyDescent="0.25">
      <c r="A25" s="109" t="s">
        <v>116</v>
      </c>
      <c r="B25" s="102"/>
      <c r="C25" s="102">
        <v>8</v>
      </c>
      <c r="D25" s="1"/>
      <c r="E25" s="1" t="s">
        <v>117</v>
      </c>
      <c r="F25" s="71" t="str">
        <f ca="1">IFERROR(WQ*OFFSET(Qx,0,formules!B$63)/MAX(Qx)+(WP*(MIN(P)/OFFSET(P,0,formules!B$63))),"")</f>
        <v/>
      </c>
      <c r="G25" s="71" t="str">
        <f ca="1">IFERROR(WQ*OFFSET(Qx,0,formules!C$63)/MAX(Qx)+(WP*(MIN(P)/OFFSET(P,0,formules!C$63))),"")</f>
        <v/>
      </c>
      <c r="H25" s="71" t="str">
        <f ca="1">IFERROR(WQ*OFFSET(Qx,0,formules!D$63)/MAX(Qx)+(WP*(MIN(P)/OFFSET(P,0,formules!D$63))),"")</f>
        <v/>
      </c>
      <c r="I25" s="71" t="str">
        <f ca="1">IFERROR(WQ*OFFSET(Qx,0,formules!E$63)/MAX(Qx)+(WP*(MIN(P)/OFFSET(P,0,formules!E$63))),"")</f>
        <v/>
      </c>
      <c r="J25" s="71" t="str">
        <f ca="1">IFERROR(WQ*OFFSET(Qx,0,formules!F$63)/MAX(Qx)+(WP*(MIN(P)/OFFSET(P,0,formules!F$63))),"")</f>
        <v/>
      </c>
      <c r="K25" s="71" t="str">
        <f ca="1">IFERROR(WQ*OFFSET(Qx,0,formules!G$63)/MAX(Qx)+(WP*(MIN(P)/OFFSET(P,0,formules!G$63))),"")</f>
        <v/>
      </c>
      <c r="L25" s="71" t="str">
        <f ca="1">IFERROR(WQ*OFFSET(Qx,0,formules!H$63)/MAX(Qx)+(WP*(MIN(P)/OFFSET(P,0,formules!H$63))),"")</f>
        <v/>
      </c>
      <c r="M25" s="71" t="str">
        <f ca="1">IFERROR(WQ*OFFSET(Qx,0,formules!I$63)/MAX(Qx)+(WP*(MIN(P)/OFFSET(P,0,formules!I$63))),"")</f>
        <v/>
      </c>
      <c r="N25" s="71" t="str">
        <f ca="1">IFERROR(WQ*OFFSET(Qx,0,formules!J$63)/MAX(Qx)+(WP*(MIN(P)/OFFSET(P,0,formules!J$63))),"")</f>
        <v/>
      </c>
      <c r="O25" s="71" t="str">
        <f ca="1">IFERROR(WQ*OFFSET(Qx,0,formules!K$63)/MAX(Qx)+(WP*(MIN(P)/OFFSET(P,0,formules!K$63))),"")</f>
        <v/>
      </c>
      <c r="P25" s="1"/>
      <c r="Q25" s="105" t="str">
        <f>"Qdidžiausia="&amp;MAX(Qx)*100&amp;"% (arba "&amp;MAX(Qx)&amp;"); Pmažiausia="&amp;MIN(P)&amp;"€; Wkokybė="&amp;WQ&amp;"; Wkaina="&amp;WP</f>
        <v>Qdidžiausia=0% (arba 0); Pmažiausia=0€; Wkokybė=8; Wkaina=92</v>
      </c>
      <c r="S25" t="s">
        <v>70</v>
      </c>
      <c r="U25" s="1">
        <v>1</v>
      </c>
      <c r="V25" s="1">
        <v>1</v>
      </c>
      <c r="W25" s="1">
        <v>2</v>
      </c>
      <c r="X25" s="72">
        <v>0</v>
      </c>
      <c r="Y25" s="72">
        <v>0</v>
      </c>
      <c r="Z25" s="72">
        <v>0</v>
      </c>
      <c r="AA25" s="72">
        <v>7.1000000000000004E-3</v>
      </c>
      <c r="AB25" s="72">
        <v>0</v>
      </c>
      <c r="AC25" s="72">
        <v>0</v>
      </c>
      <c r="AD25" s="63"/>
      <c r="AE25" s="63"/>
      <c r="AF25" s="63"/>
      <c r="AG25" s="1"/>
      <c r="AH25" s="1"/>
      <c r="AI25" s="1"/>
      <c r="AJ25" s="1"/>
      <c r="AK25" s="1"/>
      <c r="AL25" s="42">
        <v>0.15970000000000001</v>
      </c>
      <c r="AM25" s="42">
        <v>2.5600000000000001E-2</v>
      </c>
      <c r="AN25" s="42">
        <v>0</v>
      </c>
      <c r="AO25">
        <v>8</v>
      </c>
    </row>
    <row r="26" spans="1:41" ht="97.5" customHeight="1" x14ac:dyDescent="0.25">
      <c r="A26" s="109" t="s">
        <v>118</v>
      </c>
      <c r="B26" s="102"/>
      <c r="C26" s="102">
        <v>9</v>
      </c>
      <c r="D26" s="1"/>
      <c r="E26" s="1" t="s">
        <v>117</v>
      </c>
      <c r="F26" s="71" t="str">
        <f ca="1">IFERROR(WQ*OFFSET(Qx,0,formules!B$63)/MAX(Qx)-0.5*WP*((OFFSET(P,0,formules!B$63)/MIN(P))-1),"")</f>
        <v/>
      </c>
      <c r="G26" s="71" t="str">
        <f ca="1">IFERROR(WQ*OFFSET(Qx,0,formules!C$63)/MAX(Qx)-0.5*WP*((OFFSET(P,0,formules!C$63)/MIN(P))-1),"")</f>
        <v/>
      </c>
      <c r="H26" s="71" t="str">
        <f ca="1">IFERROR(WQ*OFFSET(Qx,0,formules!D$63)/MAX(Qx)-0.5*WP*((OFFSET(P,0,formules!D$63)/MIN(P))-1),"")</f>
        <v/>
      </c>
      <c r="I26" s="71" t="str">
        <f ca="1">IFERROR(WQ*OFFSET(Qx,0,formules!E$63)/MAX(Qx)-0.5*WP*((OFFSET(P,0,formules!E$63)/MIN(P))-1),"")</f>
        <v/>
      </c>
      <c r="J26" s="71" t="str">
        <f ca="1">IFERROR(WQ*OFFSET(Qx,0,formules!F$63)/MAX(Qx)-0.5*WP*((OFFSET(P,0,formules!F$63)/MIN(P))-1),"")</f>
        <v/>
      </c>
      <c r="K26" s="71" t="str">
        <f ca="1">IFERROR(WQ*OFFSET(Qx,0,formules!G$63)/MAX(Qx)-0.5*WP*((OFFSET(P,0,formules!G$63)/MIN(P))-1),"")</f>
        <v/>
      </c>
      <c r="L26" s="71" t="str">
        <f ca="1">IFERROR(WQ*OFFSET(Qx,0,formules!H$63)/MAX(Qx)-0.5*WP*((OFFSET(P,0,formules!H$63)/MIN(P))-1),"")</f>
        <v/>
      </c>
      <c r="M26" s="71" t="str">
        <f ca="1">IFERROR(WQ*OFFSET(Qx,0,formules!I$63)/MAX(Qx)-0.5*WP*((OFFSET(P,0,formules!I$63)/MIN(P))-1),"")</f>
        <v/>
      </c>
      <c r="N26" s="71" t="str">
        <f ca="1">IFERROR(WQ*OFFSET(Qx,0,formules!J$63)/MAX(Qx)-0.5*WP*((OFFSET(P,0,formules!J$63)/MIN(P))-1),"")</f>
        <v/>
      </c>
      <c r="O26" s="71" t="str">
        <f ca="1">IFERROR(WQ*OFFSET(Qx,0,formules!K$63)/MAX(Qx)-0.5*WP*((OFFSET(P,0,formules!K$63)/MIN(P))-1),"")</f>
        <v/>
      </c>
      <c r="P26" s="1"/>
      <c r="Q26" s="103" t="str">
        <f>"Qdidžiausia="&amp;MAX(Qx)*100&amp;"% (arba "&amp;MAX(Qx)&amp;"); Pmažiausia="&amp;MIN(P)&amp;"€; Wkokybė="&amp;WQ&amp;"; Wkaina="&amp;WP</f>
        <v>Qdidžiausia=0% (arba 0); Pmažiausia=0€; Wkokybė=8; Wkaina=92</v>
      </c>
      <c r="S26" t="s">
        <v>70</v>
      </c>
      <c r="U26" s="1">
        <v>1</v>
      </c>
      <c r="V26" s="1">
        <v>2</v>
      </c>
      <c r="W26" s="1">
        <v>1</v>
      </c>
      <c r="X26" s="72">
        <v>8.3999999999999995E-3</v>
      </c>
      <c r="Y26" s="72">
        <v>7.1000000000000004E-3</v>
      </c>
      <c r="Z26" s="72">
        <v>1.1599999999999999E-2</v>
      </c>
      <c r="AA26" s="72">
        <v>7.1000000000000004E-3</v>
      </c>
      <c r="AB26" s="72">
        <v>0</v>
      </c>
      <c r="AC26" s="72">
        <v>0</v>
      </c>
      <c r="AD26" s="63"/>
      <c r="AE26" s="63"/>
      <c r="AF26" s="63"/>
      <c r="AG26" s="1"/>
      <c r="AH26" s="1"/>
      <c r="AI26" s="1"/>
      <c r="AJ26" s="1"/>
      <c r="AK26" s="1"/>
      <c r="AL26" s="42">
        <v>5.1999999999999998E-3</v>
      </c>
      <c r="AM26" s="42">
        <v>2.5399999999999999E-2</v>
      </c>
      <c r="AN26" s="42">
        <v>2E-3</v>
      </c>
      <c r="AO26">
        <v>9</v>
      </c>
    </row>
    <row r="27" spans="1:41" ht="97.5" customHeight="1" x14ac:dyDescent="0.25">
      <c r="A27" s="109" t="s">
        <v>119</v>
      </c>
      <c r="B27" s="102"/>
      <c r="C27" s="102">
        <v>10</v>
      </c>
      <c r="D27" s="1"/>
      <c r="E27" s="1"/>
      <c r="F27" s="71" t="str">
        <f ca="1">IFERROR(OFFSET(P,0,formules!B$63)+ (1-(OFFSET(Qx,0,formules!B$63)/MAX(Qx)))*(OFFSET(P,0,formules!B$63)*WQ)/WP,"")</f>
        <v/>
      </c>
      <c r="G27" s="71" t="str">
        <f ca="1">IFERROR(OFFSET(P,0,formules!C$63)+ (1-(OFFSET(Qx,0,formules!C$63)/MAX(Qx)))*(OFFSET(P,0,formules!C$63)*WQ)/WP,"")</f>
        <v/>
      </c>
      <c r="H27" s="71" t="str">
        <f ca="1">IFERROR(OFFSET(P,0,formules!D$63)+ (1-(OFFSET(Qx,0,formules!D$63)/MAX(Qx)))*(OFFSET(P,0,formules!D$63)*WQ)/WP,"")</f>
        <v/>
      </c>
      <c r="I27" s="71" t="str">
        <f ca="1">IFERROR(OFFSET(P,0,formules!E$63)+ (1-(OFFSET(Qx,0,formules!E$63)/MAX(Qx)))*(OFFSET(P,0,formules!E$63)*WQ)/WP,"")</f>
        <v/>
      </c>
      <c r="J27" s="71" t="str">
        <f ca="1">IFERROR(OFFSET(P,0,formules!F$63)+ (1-(OFFSET(Qx,0,formules!F$63)/MAX(Qx)))*(OFFSET(P,0,formules!F$63)*WQ)/WP,"")</f>
        <v/>
      </c>
      <c r="K27" s="71" t="str">
        <f ca="1">IFERROR(OFFSET(P,0,formules!G$63)+ (1-(OFFSET(Qx,0,formules!G$63)/MAX(Qx)))*(OFFSET(P,0,formules!G$63)*WQ)/WP,"")</f>
        <v/>
      </c>
      <c r="L27" s="71" t="str">
        <f ca="1">IFERROR(OFFSET(P,0,formules!H$63)+ (1-(OFFSET(Qx,0,formules!H$63)/MAX(Qx)))*(OFFSET(P,0,formules!H$63)*WQ)/WP,"")</f>
        <v/>
      </c>
      <c r="M27" s="71" t="str">
        <f ca="1">IFERROR(OFFSET(P,0,formules!I$63)+ (1-(OFFSET(Qx,0,formules!I$63)/MAX(Qx)))*(OFFSET(P,0,formules!I$63)*WQ)/WP,"")</f>
        <v/>
      </c>
      <c r="N27" s="71" t="str">
        <f ca="1">IFERROR(OFFSET(P,0,formules!J$63)+ (1-(OFFSET(Qx,0,formules!J$63)/MAX(Qx)))*(OFFSET(P,0,formules!J$63)*WQ)/WP,"")</f>
        <v/>
      </c>
      <c r="O27" s="71" t="str">
        <f ca="1">IFERROR(OFFSET(P,0,formules!K$63)+ (1-(OFFSET(Qx,0,formules!K$63)/MAX(Qx)))*(OFFSET(P,0,formules!K$63)*WQ)/WP,"")</f>
        <v/>
      </c>
      <c r="P27" s="1"/>
      <c r="Q27" s="103" t="str">
        <f>"Qdidžiausia="&amp;MAX(Qx)*100&amp;"% (arba "&amp;MAX(Qx)&amp;"); Wkokybė="&amp;WQ&amp;"; Wkaina="&amp;WP</f>
        <v>Qdidžiausia=0% (arba 0); Wkokybė=8; Wkaina=92</v>
      </c>
      <c r="S27" t="s">
        <v>70</v>
      </c>
      <c r="U27" s="1">
        <v>1</v>
      </c>
      <c r="V27" s="1">
        <v>1</v>
      </c>
      <c r="W27" s="1">
        <v>1</v>
      </c>
      <c r="X27" s="72">
        <v>1.12E-2</v>
      </c>
      <c r="Y27" s="72">
        <v>1.0699999999999999E-2</v>
      </c>
      <c r="Z27" s="72">
        <v>1.1599999999999999E-2</v>
      </c>
      <c r="AA27" s="72">
        <v>1.0699999999999999E-2</v>
      </c>
      <c r="AB27" s="72">
        <v>0</v>
      </c>
      <c r="AC27" s="72">
        <v>0</v>
      </c>
      <c r="AD27" s="63">
        <v>1</v>
      </c>
      <c r="AE27" s="63"/>
      <c r="AF27" s="63"/>
      <c r="AG27" s="1"/>
      <c r="AH27" s="1"/>
      <c r="AI27" s="1"/>
      <c r="AJ27" s="1"/>
      <c r="AK27" s="1"/>
      <c r="AL27" s="42">
        <v>5.1999999999999998E-3</v>
      </c>
      <c r="AM27" s="42">
        <v>0</v>
      </c>
      <c r="AN27" s="42">
        <v>0</v>
      </c>
      <c r="AO27">
        <v>10</v>
      </c>
    </row>
    <row r="28" spans="1:41" ht="97.5" customHeight="1" x14ac:dyDescent="0.25">
      <c r="A28" s="109" t="s">
        <v>120</v>
      </c>
      <c r="B28" s="102"/>
      <c r="C28" s="102">
        <v>11</v>
      </c>
      <c r="D28" s="1"/>
      <c r="E28" s="1"/>
      <c r="F28" s="71" t="str">
        <f ca="1">IFERROR(IF((OFFSET(P,0,formules!B$63)-MIN(P))/MIN(P)&gt;1,OFFSET(Q,0,formules!B$63),(OFFSET(Q,0,formules!B$63)+(1-(OFFSET(P,0,formules!B$63)-MIN(P))/MIN(P))*WP)),"")</f>
        <v/>
      </c>
      <c r="G28" s="71" t="str">
        <f ca="1">IFERROR(IF((OFFSET(P,0,formules!C$63)-MIN(P))/MIN(P)&gt;1,OFFSET(Q,0,formules!C$63),(OFFSET(Q,0,formules!C$63)+(1-(OFFSET(P,0,formules!C$63)-MIN(P))/MIN(P))*WP)),"")</f>
        <v/>
      </c>
      <c r="H28" s="71" t="str">
        <f ca="1">IFERROR(IF((OFFSET(P,0,formules!D$63)-MIN(P))/MIN(P)&gt;1,OFFSET(Q,0,formules!D$63),(OFFSET(Q,0,formules!D$63)+(1-(OFFSET(P,0,formules!D$63)-MIN(P))/MIN(P))*WP)),"")</f>
        <v/>
      </c>
      <c r="I28" s="71" t="str">
        <f ca="1">IFERROR(IF((OFFSET(P,0,formules!E$63)-MIN(P))/MIN(P)&gt;1,OFFSET(Q,0,formules!E$63),(OFFSET(Q,0,formules!E$63)+(1-(OFFSET(P,0,formules!E$63)-MIN(P))/MIN(P))*WP)),"")</f>
        <v/>
      </c>
      <c r="J28" s="71" t="str">
        <f ca="1">IFERROR(IF((OFFSET(P,0,formules!F$63)-MIN(P))/MIN(P)&gt;1,OFFSET(Q,0,formules!F$63),(OFFSET(Q,0,formules!F$63)+(1-(OFFSET(P,0,formules!F$63)-MIN(P))/MIN(P))*WP)),"")</f>
        <v/>
      </c>
      <c r="K28" s="71" t="str">
        <f ca="1">IFERROR(IF((OFFSET(P,0,formules!G$63)-MIN(P))/MIN(P)&gt;1,OFFSET(Q,0,formules!G$63),(OFFSET(Q,0,formules!G$63)+(1-(OFFSET(P,0,formules!G$63)-MIN(P))/MIN(P))*WP)),"")</f>
        <v/>
      </c>
      <c r="L28" s="71" t="str">
        <f ca="1">IFERROR(IF((OFFSET(P,0,formules!H$63)-MIN(P))/MIN(P)&gt;1,OFFSET(Q,0,formules!H$63),(OFFSET(Q,0,formules!H$63)+(1-(OFFSET(P,0,formules!H$63)-MIN(P))/MIN(P))*WP)),"")</f>
        <v/>
      </c>
      <c r="M28" s="71" t="str">
        <f ca="1">IFERROR(IF((OFFSET(P,0,formules!I$63)-MIN(P))/MIN(P)&gt;1,OFFSET(Q,0,formules!I$63),(OFFSET(Q,0,formules!I$63)+(1-(OFFSET(P,0,formules!I$63)-MIN(P))/MIN(P))*WP)),"")</f>
        <v/>
      </c>
      <c r="N28" s="71" t="str">
        <f ca="1">IFERROR(IF((OFFSET(P,0,formules!J$63)-MIN(P))/MIN(P)&gt;1,OFFSET(Q,0,formules!J$63),(OFFSET(Q,0,formules!J$63)+(1-(OFFSET(P,0,formules!J$63)-MIN(P))/MIN(P))*WP)),"")</f>
        <v/>
      </c>
      <c r="O28" s="71" t="str">
        <f ca="1">IFERROR(IF((OFFSET(P,0,formules!K$63)-MIN(P))/MIN(P)&gt;1,OFFSET(Q,0,formules!K$63),(OFFSET(Q,0,formules!K$63)+(1-(OFFSET(P,0,formules!K$63)-MIN(P))/MIN(P))*WP)),"")</f>
        <v/>
      </c>
      <c r="P28" s="1"/>
      <c r="Q28" s="103" t="str">
        <f>"Pmažiausia="&amp;MIN(P)&amp;"€; Wkokybė="&amp;WQ&amp;"; Wkaina="&amp;WP</f>
        <v>Pmažiausia=0€; Wkokybė=8; Wkaina=92</v>
      </c>
      <c r="U28" s="1">
        <v>1</v>
      </c>
      <c r="V28" s="1">
        <v>7</v>
      </c>
      <c r="W28" s="1">
        <v>2</v>
      </c>
      <c r="X28" s="72">
        <v>0</v>
      </c>
      <c r="Y28" s="72">
        <v>0</v>
      </c>
      <c r="Z28" s="72">
        <v>0</v>
      </c>
      <c r="AA28" s="72">
        <v>1.06E-2</v>
      </c>
      <c r="AB28" s="72">
        <v>0</v>
      </c>
      <c r="AC28" s="72">
        <v>0</v>
      </c>
      <c r="AD28" s="63"/>
      <c r="AE28" s="63"/>
      <c r="AF28" s="63"/>
      <c r="AG28" s="1"/>
      <c r="AH28" s="1"/>
      <c r="AI28" s="1"/>
      <c r="AJ28" s="1"/>
      <c r="AK28" s="1"/>
      <c r="AL28" s="42">
        <v>0.13089999999999999</v>
      </c>
      <c r="AM28" s="42">
        <v>3.49E-2</v>
      </c>
      <c r="AN28" s="42">
        <v>0</v>
      </c>
      <c r="AO28">
        <v>11</v>
      </c>
    </row>
    <row r="29" spans="1:41" ht="97.5" customHeight="1" x14ac:dyDescent="0.25">
      <c r="A29" s="109" t="s">
        <v>121</v>
      </c>
      <c r="B29" s="102"/>
      <c r="C29" s="102">
        <v>12</v>
      </c>
      <c r="D29" s="1"/>
      <c r="E29" s="1"/>
      <c r="F29" s="71" t="str">
        <f ca="1">IFERROR((0.5-((OFFSET(P,0,formules!B$63)-AVERAGE(P))/AVERAGE(P)))*WP+OFFSET(Q,0,formules!B$63),"")</f>
        <v/>
      </c>
      <c r="G29" s="71" t="str">
        <f ca="1">IFERROR((0.5-((OFFSET(P,0,formules!C$63)-AVERAGE(P))/AVERAGE(P)))*WP+OFFSET(Q,0,formules!C$63),"")</f>
        <v/>
      </c>
      <c r="H29" s="71" t="str">
        <f ca="1">IFERROR((0.5-((OFFSET(P,0,formules!D$63)-AVERAGE(P))/AVERAGE(P)))*WP+OFFSET(Q,0,formules!D$63),"")</f>
        <v/>
      </c>
      <c r="I29" s="71" t="str">
        <f ca="1">IFERROR((0.5-((OFFSET(P,0,formules!E$63)-AVERAGE(P))/AVERAGE(P)))*WP+OFFSET(Q,0,formules!E$63),"")</f>
        <v/>
      </c>
      <c r="J29" s="71" t="str">
        <f ca="1">IFERROR((0.5-((OFFSET(P,0,formules!F$63)-AVERAGE(P))/AVERAGE(P)))*WP+OFFSET(Q,0,formules!F$63),"")</f>
        <v/>
      </c>
      <c r="K29" s="71" t="str">
        <f ca="1">IFERROR((0.5-((OFFSET(P,0,formules!G$63)-AVERAGE(P))/AVERAGE(P)))*WP+OFFSET(Q,0,formules!G$63),"")</f>
        <v/>
      </c>
      <c r="L29" s="71" t="str">
        <f ca="1">IFERROR((0.5-((OFFSET(P,0,formules!H$63)-AVERAGE(P))/AVERAGE(P)))*WP+OFFSET(Q,0,formules!H$63),"")</f>
        <v/>
      </c>
      <c r="M29" s="71" t="str">
        <f ca="1">IFERROR((0.5-((OFFSET(P,0,formules!I$63)-AVERAGE(P))/AVERAGE(P)))*WP+OFFSET(Q,0,formules!I$63),"")</f>
        <v/>
      </c>
      <c r="N29" s="71" t="str">
        <f ca="1">IFERROR((0.5-((OFFSET(P,0,formules!J$63)-AVERAGE(P))/AVERAGE(P)))*WP+OFFSET(Q,0,formules!J$63),"")</f>
        <v/>
      </c>
      <c r="O29" s="71" t="str">
        <f ca="1">IFERROR((0.5-((OFFSET(P,0,formules!K$63)-AVERAGE(P))/AVERAGE(P)))*WP+OFFSET(Q,0,formules!K$63),"")</f>
        <v/>
      </c>
      <c r="P29" s="1"/>
      <c r="Q29" s="103" t="e">
        <f>"Pvidurkis="&amp;AVERAGE(P)&amp;"€; Wkokybė="&amp;WQ&amp;"; Wkaina="&amp;WP</f>
        <v>#DIV/0!</v>
      </c>
      <c r="U29" s="1">
        <v>1</v>
      </c>
      <c r="V29" s="1">
        <v>2</v>
      </c>
      <c r="W29" s="1">
        <v>2</v>
      </c>
      <c r="X29" s="72"/>
      <c r="Y29" s="72"/>
      <c r="Z29" s="72"/>
      <c r="AA29" s="72"/>
      <c r="AB29" s="72"/>
      <c r="AC29" s="72"/>
      <c r="AD29" s="63"/>
      <c r="AE29" s="63"/>
      <c r="AF29" s="63"/>
      <c r="AG29" s="1"/>
      <c r="AH29" s="1"/>
      <c r="AI29" s="1"/>
      <c r="AJ29" s="1"/>
      <c r="AK29" s="1"/>
      <c r="AL29" s="42">
        <v>1.5699999999999999E-2</v>
      </c>
      <c r="AM29" s="42">
        <v>1.2699999999999999E-2</v>
      </c>
      <c r="AN29" s="42">
        <v>4.5999999999999999E-3</v>
      </c>
      <c r="AO29">
        <v>12</v>
      </c>
    </row>
    <row r="30" spans="1:41" ht="97.5" customHeight="1" x14ac:dyDescent="0.25">
      <c r="A30" s="109" t="s">
        <v>122</v>
      </c>
      <c r="B30" s="102"/>
      <c r="C30" s="102">
        <v>13</v>
      </c>
      <c r="D30" s="1"/>
      <c r="E30" s="111"/>
      <c r="F30" s="71" t="str">
        <f ca="1">IFERROR(IF((sm-MIN(P))/MIN(P)*100&gt;20,IF(OFFSET(P,0,formules!B$63)=sm,0.8*WP+OFFSET(Q,0,formules!B$63),IF(OFFSET(P,0,formules!B$63)=MIN(P),WP+OFFSET(Q,0,formules!B$63),WP*(1-(OFFSET(P,0,formules!B$63)-sm)/sm)+OFFSET(Q,0,formules!B$63))),WP*(1-((OFFSET(P,0,formules!B$63)-MIN(P))/MIN(P)))+OFFSET(Q,0,formules!B$63)),"")</f>
        <v/>
      </c>
      <c r="G30" s="71" t="str">
        <f ca="1">IFERROR(IF((sm-MIN(P))/MIN(P)*100&gt;20,IF(OFFSET(P,0,formules!C$63)=sm,0.8*WP+OFFSET(Q,0,formules!C$63),IF(OFFSET(P,0,formules!C$63)=MIN(P),WP+OFFSET(Q,0,formules!C$63),WP*(1-(OFFSET(P,0,formules!C$63)-sm)/sm)+OFFSET(Q,0,formules!C$63))),WP*(1-((OFFSET(P,0,formules!C$63)-MIN(P))/MIN(P)))+OFFSET(Q,0,formules!C$63)),"")</f>
        <v/>
      </c>
      <c r="H30" s="71" t="str">
        <f ca="1">IFERROR(IF((sm-MIN(P))/MIN(P)*100&gt;20,IF(OFFSET(P,0,formules!D$63)=sm,0.8*WP+OFFSET(Q,0,formules!D$63),IF(OFFSET(P,0,formules!D$63)=MIN(P),WP+OFFSET(Q,0,formules!D$63),WP*(1-(OFFSET(P,0,formules!D$63)-sm)/sm)+OFFSET(Q,0,formules!D$63))),WP*(1-((OFFSET(P,0,formules!D$63)-MIN(P))/MIN(P)))+OFFSET(Q,0,formules!D$63)),"")</f>
        <v/>
      </c>
      <c r="I30" s="71" t="str">
        <f ca="1">IFERROR(IF((sm-MIN(P))/MIN(P)*100&gt;20,IF(OFFSET(P,0,formules!E$63)=sm,0.8*WP+OFFSET(Q,0,formules!E$63),IF(OFFSET(P,0,formules!E$63)=MIN(P),WP+OFFSET(Q,0,formules!E$63),WP*(1-(OFFSET(P,0,formules!E$63)-sm)/sm)+OFFSET(Q,0,formules!E$63))),WP*(1-((OFFSET(P,0,formules!E$63)-MIN(P))/MIN(P)))+OFFSET(Q,0,formules!E$63)),"")</f>
        <v/>
      </c>
      <c r="J30" s="71" t="str">
        <f ca="1">IFERROR(IF((sm-MIN(P))/MIN(P)*100&gt;20,IF(OFFSET(P,0,formules!F$63)=sm,0.8*WP+OFFSET(Q,0,formules!F$63),IF(OFFSET(P,0,formules!F$63)=MIN(P),WP+OFFSET(Q,0,formules!F$63),WP*(1-(OFFSET(P,0,formules!F$63)-sm)/sm)+OFFSET(Q,0,formules!F$63))),WP*(1-((OFFSET(P,0,formules!F$63)-MIN(P))/MIN(P)))+OFFSET(Q,0,formules!F$63)),"")</f>
        <v/>
      </c>
      <c r="K30" s="71" t="str">
        <f ca="1">IFERROR(IF((sm-MIN(P))/MIN(P)*100&gt;20,IF(OFFSET(P,0,formules!G$63)=sm,0.8*WP+OFFSET(Q,0,formules!G$63),IF(OFFSET(P,0,formules!G$63)=MIN(P),WP+OFFSET(Q,0,formules!G$63),WP*(1-(OFFSET(P,0,formules!G$63)-sm)/sm)+OFFSET(Q,0,formules!G$63))),WP*(1-((OFFSET(P,0,formules!G$63)-MIN(P))/MIN(P)))+OFFSET(Q,0,formules!G$63)),"")</f>
        <v/>
      </c>
      <c r="L30" s="71" t="str">
        <f ca="1">IFERROR(IF((sm-MIN(P))/MIN(P)*100&gt;20,IF(OFFSET(P,0,formules!H$63)=sm,0.8*WP+OFFSET(Q,0,formules!H$63),IF(OFFSET(P,0,formules!H$63)=MIN(P),WP+OFFSET(Q,0,formules!H$63),WP*(1-(OFFSET(P,0,formules!H$63)-sm)/sm)+OFFSET(Q,0,formules!H$63))),WP*(1-((OFFSET(P,0,formules!H$63)-MIN(P))/MIN(P)))+OFFSET(Q,0,formules!H$63)),"")</f>
        <v/>
      </c>
      <c r="M30" s="71" t="str">
        <f ca="1">IFERROR(IF((sm-MIN(P))/MIN(P)*100&gt;20,IF(OFFSET(P,0,formules!I$63)=sm,0.8*WP+OFFSET(Q,0,formules!I$63),IF(OFFSET(P,0,formules!I$63)=MIN(P),WP+OFFSET(Q,0,formules!I$63),WP*(1-(OFFSET(P,0,formules!I$63)-sm)/sm)+OFFSET(Q,0,formules!I$63))),WP*(1-((OFFSET(P,0,formules!I$63)-MIN(P))/MIN(P)))+OFFSET(Q,0,formules!I$63)),"")</f>
        <v/>
      </c>
      <c r="N30" s="71" t="str">
        <f ca="1">IFERROR(IF((sm-MIN(P))/MIN(P)*100&gt;20,IF(OFFSET(P,0,formules!J$63)=sm,0.8*WP+OFFSET(Q,0,formules!J$63),IF(OFFSET(P,0,formules!J$63)=MIN(P),WP+OFFSET(Q,0,formules!J$63),WP*(1-(OFFSET(P,0,formules!J$63)-sm)/sm)+OFFSET(Q,0,formules!J$63))),WP*(1-((OFFSET(P,0,formules!J$63)-MIN(P))/MIN(P)))+OFFSET(Q,0,formules!J$63)),"")</f>
        <v/>
      </c>
      <c r="O30" s="71" t="str">
        <f ca="1">IFERROR(IF((sm-MIN(P))/MIN(P)*100&gt;20,IF(OFFSET(P,0,formules!K$63)=sm,0.8*WP+OFFSET(Q,0,formules!K$63),IF(OFFSET(P,0,formules!K$63)=MIN(P),WP+OFFSET(Q,0,formules!K$63),WP*(1-(OFFSET(P,0,formules!K$63)-sm)/sm)+OFFSET(Q,0,formules!K$63))),WP*(1-((OFFSET(P,0,formules!K$63)-MIN(P))/MIN(P)))+OFFSET(Q,0,formules!K$63)),"")</f>
        <v/>
      </c>
      <c r="P30" s="1"/>
      <c r="Q30" s="103" t="str">
        <f>"Pmažiausia="&amp;MIN(P)&amp;"€; P2mažiausia="&amp;sm&amp;"€;  Wkokybė="&amp;WQ&amp;"; Wkaina="&amp;WP</f>
        <v>Pmažiausia=0€; P2mažiausia=0€;  Wkokybė=8; Wkaina=92</v>
      </c>
      <c r="U30" s="1">
        <v>1</v>
      </c>
      <c r="V30" s="1">
        <v>7</v>
      </c>
      <c r="W30" s="1">
        <v>1</v>
      </c>
      <c r="X30" s="72">
        <v>2.8E-3</v>
      </c>
      <c r="Y30" s="72">
        <v>3.5000000000000001E-3</v>
      </c>
      <c r="Z30" s="72">
        <v>7.4999999999999997E-3</v>
      </c>
      <c r="AA30" s="72">
        <v>0.1028</v>
      </c>
      <c r="AB30" s="72">
        <v>1.23E-2</v>
      </c>
      <c r="AC30" s="72">
        <v>2.8E-3</v>
      </c>
      <c r="AD30" s="63"/>
      <c r="AE30" s="63"/>
      <c r="AF30" s="63"/>
      <c r="AG30" s="1"/>
      <c r="AH30" s="1"/>
      <c r="AI30" s="1"/>
      <c r="AJ30" s="1"/>
      <c r="AK30" s="1"/>
      <c r="AL30" s="42">
        <v>0.10730000000000001</v>
      </c>
      <c r="AM30" s="42">
        <v>0.1016</v>
      </c>
      <c r="AN30" s="42">
        <v>1.43E-2</v>
      </c>
      <c r="AO30">
        <v>13</v>
      </c>
    </row>
    <row r="31" spans="1:41" ht="97.5" customHeight="1" x14ac:dyDescent="0.25">
      <c r="A31" s="109" t="s">
        <v>123</v>
      </c>
      <c r="B31" s="102"/>
      <c r="C31" s="102">
        <v>15</v>
      </c>
      <c r="D31" s="1"/>
      <c r="E31" s="1"/>
      <c r="F31" s="71" t="str">
        <f ca="1">IFERROR((1-(0.5*(OFFSET(P,0,formules!B$63)/MIN(P))))*WP+OFFSET(Q,0,formules!B$63),"")</f>
        <v/>
      </c>
      <c r="G31" s="71" t="str">
        <f ca="1">IFERROR((1-(0.5*(OFFSET(P,0,formules!C$63)/MIN(P))))*WP+OFFSET(Q,0,formules!C$63),"")</f>
        <v/>
      </c>
      <c r="H31" s="71" t="str">
        <f ca="1">IFERROR((1-(0.5*(OFFSET(P,0,formules!D$63)/MIN(P))))*WP+OFFSET(Q,0,formules!D$63),"")</f>
        <v/>
      </c>
      <c r="I31" s="71" t="str">
        <f ca="1">IFERROR((1-(0.5*(OFFSET(P,0,formules!E$63)/MIN(P))))*WP+OFFSET(Q,0,formules!E$63),"")</f>
        <v/>
      </c>
      <c r="J31" s="71" t="str">
        <f ca="1">IFERROR((1-(0.5*(OFFSET(P,0,formules!F$63)/MIN(P))))*WP+OFFSET(Q,0,formules!F$63),"")</f>
        <v/>
      </c>
      <c r="K31" s="71" t="str">
        <f ca="1">IFERROR((1-(0.5*(OFFSET(P,0,formules!G$63)/MIN(P))))*WP+OFFSET(Q,0,formules!G$63),"")</f>
        <v/>
      </c>
      <c r="L31" s="71" t="str">
        <f ca="1">IFERROR((1-(0.5*(OFFSET(P,0,formules!H$63)/MIN(P))))*WP+OFFSET(Q,0,formules!H$63),"")</f>
        <v/>
      </c>
      <c r="M31" s="71" t="str">
        <f ca="1">IFERROR((1-(0.5*(OFFSET(P,0,formules!I$63)/MIN(P))))*WP+OFFSET(Q,0,formules!I$63),"")</f>
        <v/>
      </c>
      <c r="N31" s="71" t="str">
        <f ca="1">IFERROR((1-(0.5*(OFFSET(P,0,formules!J$63)/MIN(P))))*WP+OFFSET(Q,0,formules!J$63),"")</f>
        <v/>
      </c>
      <c r="O31" s="71" t="str">
        <f ca="1">IFERROR((1-(0.5*(OFFSET(P,0,formules!K$63)/MIN(P))))*WP+OFFSET(Q,0,formules!K$63),"")</f>
        <v/>
      </c>
      <c r="P31" s="1"/>
      <c r="Q31" s="103" t="str">
        <f>"Pmažiausia="&amp;MIN(P)&amp;"€; Wkokybė="&amp;WQ&amp;"; Wkaina="&amp;WP</f>
        <v>Pmažiausia=0€; Wkokybė=8; Wkaina=92</v>
      </c>
      <c r="U31" s="1">
        <v>1</v>
      </c>
      <c r="V31" s="1">
        <v>2</v>
      </c>
      <c r="W31" s="1">
        <v>1</v>
      </c>
      <c r="X31" s="72">
        <v>8.3000000000000001E-3</v>
      </c>
      <c r="Y31" s="72">
        <v>7.1000000000000004E-3</v>
      </c>
      <c r="Z31" s="72">
        <v>1.14E-2</v>
      </c>
      <c r="AA31" s="72">
        <v>3.5000000000000001E-3</v>
      </c>
      <c r="AB31" s="72">
        <v>8.0000000000000004E-4</v>
      </c>
      <c r="AC31" s="72">
        <v>0</v>
      </c>
      <c r="AD31" s="63"/>
      <c r="AE31" s="63"/>
      <c r="AF31" s="63"/>
      <c r="AG31" s="1"/>
      <c r="AH31" s="1"/>
      <c r="AI31" s="1"/>
      <c r="AJ31" s="1"/>
      <c r="AK31" s="1"/>
      <c r="AL31" s="42">
        <v>5.1999999999999998E-3</v>
      </c>
      <c r="AM31" s="42">
        <v>1.5900000000000001E-2</v>
      </c>
      <c r="AN31" s="42">
        <v>0</v>
      </c>
      <c r="AO31">
        <v>15</v>
      </c>
    </row>
    <row r="32" spans="1:41" ht="97.5" customHeight="1" x14ac:dyDescent="0.25">
      <c r="A32" s="109" t="s">
        <v>124</v>
      </c>
      <c r="B32" s="102"/>
      <c r="C32" s="102">
        <v>16</v>
      </c>
      <c r="D32" s="1"/>
      <c r="E32" s="1"/>
      <c r="F32" s="71" t="str">
        <f ca="1">IFERROR(WP*(1-0.5*LOG(OFFSET(P,0,formules!B$63)/MIN(P))/LOG(2))+OFFSET(Q,0,formules!B$63),"")</f>
        <v/>
      </c>
      <c r="G32" s="71" t="str">
        <f ca="1">IFERROR(WP*(1-0.5*LOG(OFFSET(P,0,formules!C$63)/MIN(P))/LOG(2))+OFFSET(Q,0,formules!C$63),"")</f>
        <v/>
      </c>
      <c r="H32" s="71" t="str">
        <f ca="1">IFERROR(WP*(1-0.5*LOG(OFFSET(P,0,formules!D$63)/MIN(P))/LOG(2))+OFFSET(Q,0,formules!D$63),"")</f>
        <v/>
      </c>
      <c r="I32" s="71" t="str">
        <f ca="1">IFERROR(WP*(1-0.5*LOG(OFFSET(P,0,formules!E$63)/MIN(P))/LOG(2))+OFFSET(Q,0,formules!E$63),"")</f>
        <v/>
      </c>
      <c r="J32" s="71" t="str">
        <f ca="1">IFERROR(WP*(1-0.5*LOG(OFFSET(P,0,formules!F$63)/MIN(P))/LOG(2))+OFFSET(Q,0,formules!F$63),"")</f>
        <v/>
      </c>
      <c r="K32" s="71" t="str">
        <f ca="1">IFERROR(WP*(1-0.5*LOG(OFFSET(P,0,formules!G$63)/MIN(P))/LOG(2))+OFFSET(Q,0,formules!G$63),"")</f>
        <v/>
      </c>
      <c r="L32" s="71" t="str">
        <f ca="1">IFERROR(WP*(1-0.5*LOG(OFFSET(P,0,formules!H$63)/MIN(P))/LOG(2))+OFFSET(Q,0,formules!H$63),"")</f>
        <v/>
      </c>
      <c r="M32" s="71" t="str">
        <f ca="1">IFERROR(WP*(1-0.5*LOG(OFFSET(P,0,formules!I$63)/MIN(P))/LOG(2))+OFFSET(Q,0,formules!I$63),"")</f>
        <v/>
      </c>
      <c r="N32" s="71" t="str">
        <f ca="1">IFERROR(WP*(1-0.5*LOG(OFFSET(P,0,formules!J$63)/MIN(P))/LOG(2))+OFFSET(Q,0,formules!J$63),"")</f>
        <v/>
      </c>
      <c r="O32" s="71" t="str">
        <f ca="1">IFERROR(WP*(1-0.5*LOG(OFFSET(P,0,formules!K$63)/MIN(P))/LOG(2))+OFFSET(Q,0,formules!K$63),"")</f>
        <v/>
      </c>
      <c r="P32" s="1"/>
      <c r="Q32" s="103" t="str">
        <f>"Pmažiausia="&amp;MIN(P)&amp;"€; Wkokybė="&amp;WQ&amp;"; Wkaina="&amp;WP&amp;"; Log(2)≈"&amp;ROUND(LOG(2),3)</f>
        <v>Pmažiausia=0€; Wkokybė=8; Wkaina=92; Log(2)≈0,301</v>
      </c>
      <c r="R32" t="s">
        <v>107</v>
      </c>
      <c r="U32" s="1">
        <v>1</v>
      </c>
      <c r="V32" s="1">
        <v>1</v>
      </c>
      <c r="W32" s="1">
        <v>1</v>
      </c>
      <c r="X32" s="72">
        <v>0</v>
      </c>
      <c r="Y32" s="72">
        <v>0</v>
      </c>
      <c r="Z32" s="72">
        <v>0</v>
      </c>
      <c r="AA32" s="72">
        <v>0</v>
      </c>
      <c r="AB32" s="72">
        <v>0</v>
      </c>
      <c r="AC32" s="72">
        <v>0</v>
      </c>
      <c r="AD32" s="63"/>
      <c r="AE32" s="63"/>
      <c r="AF32" s="63"/>
      <c r="AG32" s="1"/>
      <c r="AH32" s="1"/>
      <c r="AI32" s="1"/>
      <c r="AJ32" s="1"/>
      <c r="AK32" s="1"/>
      <c r="AL32" s="42">
        <v>7.9000000000000008E-3</v>
      </c>
      <c r="AM32" s="42">
        <v>0</v>
      </c>
      <c r="AN32" s="42">
        <v>0</v>
      </c>
      <c r="AO32">
        <v>16</v>
      </c>
    </row>
    <row r="33" spans="1:41" ht="97.5" customHeight="1" x14ac:dyDescent="0.25">
      <c r="A33" s="112" t="s">
        <v>125</v>
      </c>
      <c r="B33" s="102"/>
      <c r="C33" s="102">
        <v>19</v>
      </c>
      <c r="D33" s="1"/>
      <c r="E33" s="104" t="s">
        <v>126</v>
      </c>
      <c r="F33" s="71" t="str">
        <f ca="1">IFERROR(OFFSET(Q,0,formules!B$63)+WP*((MAX(P)-OFFSET(P,0,formules!B$63))/(MAX(P)-AVERAGE(P))),"")</f>
        <v/>
      </c>
      <c r="G33" s="71" t="str">
        <f ca="1">IFERROR(OFFSET(Q,0,formules!C$63)+WP*((MAX(P)-OFFSET(P,0,formules!C$63))/(MAX(P)-AVERAGE(P))),"")</f>
        <v/>
      </c>
      <c r="H33" s="71" t="str">
        <f ca="1">IFERROR(OFFSET(Q,0,formules!D$63)+WP*((MAX(P)-OFFSET(P,0,formules!D$63))/(MAX(P)-AVERAGE(P))),"")</f>
        <v/>
      </c>
      <c r="I33" s="71" t="str">
        <f ca="1">IFERROR(OFFSET(Q,0,formules!E$63)+WP*((MAX(P)-OFFSET(P,0,formules!E$63))/(MAX(P)-AVERAGE(P))),"")</f>
        <v/>
      </c>
      <c r="J33" s="71" t="str">
        <f ca="1">IFERROR(OFFSET(Q,0,formules!F$63)+WP*((MAX(P)-OFFSET(P,0,formules!F$63))/(MAX(P)-AVERAGE(P))),"")</f>
        <v/>
      </c>
      <c r="K33" s="71" t="str">
        <f ca="1">IFERROR(OFFSET(Q,0,formules!G$63)+WP*((MAX(P)-OFFSET(P,0,formules!G$63))/(MAX(P)-AVERAGE(P))),"")</f>
        <v/>
      </c>
      <c r="L33" s="71" t="str">
        <f ca="1">IFERROR(OFFSET(Q,0,formules!H$63)+WP*((MAX(P)-OFFSET(P,0,formules!H$63))/(MAX(P)-AVERAGE(P))),"")</f>
        <v/>
      </c>
      <c r="M33" s="71" t="str">
        <f ca="1">IFERROR(OFFSET(Q,0,formules!I$63)+WP*((MAX(P)-OFFSET(P,0,formules!I$63))/(MAX(P)-AVERAGE(P))),"")</f>
        <v/>
      </c>
      <c r="N33" s="71" t="str">
        <f ca="1">IFERROR(OFFSET(Q,0,formules!J$63)+WP*((MAX(P)-OFFSET(P,0,formules!J$63))/(MAX(P)-AVERAGE(P))),"")</f>
        <v/>
      </c>
      <c r="O33" s="71" t="str">
        <f ca="1">IFERROR(OFFSET(Q,0,formules!K$63)+WP*((MAX(P)-OFFSET(P,0,formules!K$63))/(MAX(P)-AVERAGE(P))),"")</f>
        <v/>
      </c>
      <c r="P33" s="1"/>
      <c r="Q33" s="103" t="e">
        <f>"Pvidutinė="&amp;AVERAGE(P)&amp;"€; Pdidžiausia="&amp;MAX(P)&amp;"€; Wkokybė="&amp;WQ&amp;"; Wkaina="&amp;WP</f>
        <v>#DIV/0!</v>
      </c>
      <c r="U33" s="1">
        <v>1</v>
      </c>
      <c r="V33" s="1">
        <v>5</v>
      </c>
      <c r="W33" s="1">
        <v>2</v>
      </c>
      <c r="X33" s="72">
        <v>4.3999999999999997E-2</v>
      </c>
      <c r="Y33" s="72">
        <v>3.61E-2</v>
      </c>
      <c r="Z33" s="72">
        <v>2.29E-2</v>
      </c>
      <c r="AA33" s="72">
        <v>0</v>
      </c>
      <c r="AB33" s="72">
        <v>6.6E-3</v>
      </c>
      <c r="AC33" s="72">
        <v>0</v>
      </c>
      <c r="AD33" s="63"/>
      <c r="AE33" s="63"/>
      <c r="AF33" s="63"/>
      <c r="AG33" s="1"/>
      <c r="AH33" s="1"/>
      <c r="AI33" s="1"/>
      <c r="AJ33" s="1"/>
      <c r="AK33" s="1"/>
      <c r="AL33" s="42">
        <v>2.3599999999999999E-2</v>
      </c>
      <c r="AM33" s="42">
        <v>2.5899999999999999E-2</v>
      </c>
      <c r="AN33" s="42">
        <v>2.0899999999999998E-2</v>
      </c>
      <c r="AO33">
        <v>19</v>
      </c>
    </row>
    <row r="34" spans="1:41" ht="97.5" customHeight="1" x14ac:dyDescent="0.25">
      <c r="A34" s="112" t="s">
        <v>127</v>
      </c>
      <c r="B34" s="102"/>
      <c r="C34" s="102">
        <v>20</v>
      </c>
      <c r="D34" s="1"/>
      <c r="E34" s="104" t="s">
        <v>126</v>
      </c>
      <c r="F34" s="71" t="str">
        <f ca="1">IFERROR(OFFSET(Q,0,formules!B$63)+WP*(1-((OFFSET(P,0,formules!B$63)-MIN(P))/AVERAGE(P))),"")</f>
        <v/>
      </c>
      <c r="G34" s="71" t="str">
        <f ca="1">IFERROR(OFFSET(Q,0,formules!C$63)+WP*(1-((OFFSET(P,0,formules!C$63)-MIN(P))/AVERAGE(P))),"")</f>
        <v/>
      </c>
      <c r="H34" s="71" t="str">
        <f ca="1">IFERROR(OFFSET(Q,0,formules!D$63)+WP*(1-((OFFSET(P,0,formules!D$63)-MIN(P))/AVERAGE(P))),"")</f>
        <v/>
      </c>
      <c r="I34" s="71" t="str">
        <f ca="1">IFERROR(OFFSET(Q,0,formules!E$63)+WP*(1-((OFFSET(P,0,formules!E$63)-MIN(P))/AVERAGE(P))),"")</f>
        <v/>
      </c>
      <c r="J34" s="71" t="str">
        <f ca="1">IFERROR(OFFSET(Q,0,formules!F$63)+WP*(1-((OFFSET(P,0,formules!F$63)-MIN(P))/AVERAGE(P))),"")</f>
        <v/>
      </c>
      <c r="K34" s="71" t="str">
        <f ca="1">IFERROR(OFFSET(Q,0,formules!G$63)+WP*(1-((OFFSET(P,0,formules!G$63)-MIN(P))/AVERAGE(P))),"")</f>
        <v/>
      </c>
      <c r="L34" s="71" t="str">
        <f ca="1">IFERROR(OFFSET(Q,0,formules!H$63)+WP*(1-((OFFSET(P,0,formules!H$63)-MIN(P))/AVERAGE(P))),"")</f>
        <v/>
      </c>
      <c r="M34" s="71" t="str">
        <f ca="1">IFERROR(OFFSET(Q,0,formules!I$63)+WP*(1-((OFFSET(P,0,formules!I$63)-MIN(P))/AVERAGE(P))),"")</f>
        <v/>
      </c>
      <c r="N34" s="71" t="str">
        <f ca="1">IFERROR(OFFSET(Q,0,formules!J$63)+WP*(1-((OFFSET(P,0,formules!J$63)-MIN(P))/AVERAGE(P))),"")</f>
        <v/>
      </c>
      <c r="O34" s="71" t="str">
        <f ca="1">IFERROR(OFFSET(Q,0,formules!K$63)+WP*(1-((OFFSET(P,0,formules!K$63)-MIN(P))/AVERAGE(P))),"")</f>
        <v/>
      </c>
      <c r="P34" s="1"/>
      <c r="Q34" s="103" t="e">
        <f>"Pvidutinė="&amp;AVERAGE(P)&amp;"€; Pdidžiausia="&amp;MAX(P)&amp;"€; Wkokybė="&amp;WQ&amp;"; Wkaina="&amp;WP</f>
        <v>#DIV/0!</v>
      </c>
      <c r="U34" s="1">
        <v>1</v>
      </c>
      <c r="V34" s="1">
        <v>2</v>
      </c>
      <c r="W34" s="1">
        <v>1</v>
      </c>
      <c r="X34" s="72">
        <v>0</v>
      </c>
      <c r="Y34" s="72">
        <v>0</v>
      </c>
      <c r="Z34" s="72">
        <v>0</v>
      </c>
      <c r="AA34" s="72">
        <v>0</v>
      </c>
      <c r="AB34" s="72">
        <v>5.7000000000000002E-3</v>
      </c>
      <c r="AC34" s="72">
        <v>0</v>
      </c>
      <c r="AD34" s="63"/>
      <c r="AE34" s="63"/>
      <c r="AF34" s="63"/>
      <c r="AG34" s="1"/>
      <c r="AH34" s="1"/>
      <c r="AI34" s="1"/>
      <c r="AJ34" s="1"/>
      <c r="AK34" s="1"/>
      <c r="AL34" s="42">
        <v>1.5699999999999999E-2</v>
      </c>
      <c r="AM34" s="42">
        <v>1.2699999999999999E-2</v>
      </c>
      <c r="AN34" s="42">
        <v>4.5999999999999999E-3</v>
      </c>
      <c r="AO34">
        <v>20</v>
      </c>
    </row>
    <row r="35" spans="1:41" ht="97.5" customHeight="1" x14ac:dyDescent="0.25">
      <c r="A35" s="109" t="s">
        <v>128</v>
      </c>
      <c r="B35" s="102"/>
      <c r="C35" s="102">
        <v>21</v>
      </c>
      <c r="D35" s="1"/>
      <c r="E35" s="1"/>
      <c r="F35" s="71" t="str">
        <f ca="1">IFERROR(OFFSET(Q,0,formules!B$63)+WP*((2*MIN(P)-OFFSET(P,0,formules!B$63))/MIN(P)),"")</f>
        <v/>
      </c>
      <c r="G35" s="71" t="str">
        <f ca="1">IFERROR(OFFSET(Q,0,formules!C$63)+WP*((2*MIN(P)-OFFSET(P,0,formules!C$63))/MIN(P)),"")</f>
        <v/>
      </c>
      <c r="H35" s="71" t="str">
        <f ca="1">IFERROR(OFFSET(Q,0,formules!D$63)+WP*((2*MIN(P)-OFFSET(P,0,formules!D$63))/MIN(P)),"")</f>
        <v/>
      </c>
      <c r="I35" s="71" t="str">
        <f ca="1">IFERROR(OFFSET(Q,0,formules!E$63)+WP*((2*MIN(P)-OFFSET(P,0,formules!E$63))/MIN(P)),"")</f>
        <v/>
      </c>
      <c r="J35" s="71" t="str">
        <f ca="1">IFERROR(OFFSET(Q,0,formules!F$63)+WP*((2*MIN(P)-OFFSET(P,0,formules!F$63))/MIN(P)),"")</f>
        <v/>
      </c>
      <c r="K35" s="71" t="str">
        <f ca="1">IFERROR(OFFSET(Q,0,formules!G$63)+WP*((2*MIN(P)-OFFSET(P,0,formules!G$63))/MIN(P)),"")</f>
        <v/>
      </c>
      <c r="L35" s="71" t="str">
        <f ca="1">IFERROR(OFFSET(Q,0,formules!H$63)+WP*((2*MIN(P)-OFFSET(P,0,formules!H$63))/MIN(P)),"")</f>
        <v/>
      </c>
      <c r="M35" s="71" t="str">
        <f ca="1">IFERROR(OFFSET(Q,0,formules!I$63)+WP*((2*MIN(P)-OFFSET(P,0,formules!I$63))/MIN(P)),"")</f>
        <v/>
      </c>
      <c r="N35" s="71" t="str">
        <f ca="1">IFERROR(OFFSET(Q,0,formules!J$63)+WP*((2*MIN(P)-OFFSET(P,0,formules!J$63))/MIN(P)),"")</f>
        <v/>
      </c>
      <c r="O35" s="71" t="str">
        <f ca="1">IFERROR(OFFSET(Q,0,formules!K$63)+WP*((2*MIN(P)-OFFSET(P,0,formules!K$63))/MIN(P)),"")</f>
        <v/>
      </c>
      <c r="P35" s="1"/>
      <c r="Q35" s="103" t="str">
        <f>"Pmažiausia="&amp;MIN(P)&amp;"€; Wkokybė="&amp;WQ&amp;"; Wkaina="&amp;WP</f>
        <v>Pmažiausia=0€; Wkokybė=8; Wkaina=92</v>
      </c>
      <c r="U35" s="1">
        <v>1</v>
      </c>
      <c r="V35" s="1">
        <v>2</v>
      </c>
      <c r="W35" s="1">
        <v>1</v>
      </c>
      <c r="X35" s="72">
        <v>1.11E-2</v>
      </c>
      <c r="Y35" s="72">
        <v>1.06E-2</v>
      </c>
      <c r="Z35" s="72">
        <v>1.14E-2</v>
      </c>
      <c r="AA35" s="72">
        <v>3.5000000000000001E-3</v>
      </c>
      <c r="AB35" s="72">
        <v>0</v>
      </c>
      <c r="AC35" s="72">
        <v>0</v>
      </c>
      <c r="AD35" s="63"/>
      <c r="AE35" s="63"/>
      <c r="AF35" s="63"/>
      <c r="AG35" s="1"/>
      <c r="AH35" s="1"/>
      <c r="AI35" s="1"/>
      <c r="AJ35" s="1"/>
      <c r="AK35" s="1"/>
      <c r="AL35" s="42">
        <v>5.1999999999999998E-3</v>
      </c>
      <c r="AM35" s="42">
        <v>1.5900000000000001E-2</v>
      </c>
      <c r="AN35" s="42">
        <v>0</v>
      </c>
      <c r="AO35">
        <v>21</v>
      </c>
    </row>
    <row r="36" spans="1:41" ht="97.5" customHeight="1" x14ac:dyDescent="0.25">
      <c r="A36" s="109" t="s">
        <v>129</v>
      </c>
      <c r="B36" s="102"/>
      <c r="C36" s="102">
        <v>22</v>
      </c>
      <c r="D36" s="1"/>
      <c r="E36" s="1"/>
      <c r="F36" s="71" t="str">
        <f ca="1">IFERROR(OFFSET(Q,0,formules!B$63)+WP*((OFFSET(P,0,formules!B$63)-MAX(P))/(MIN(P)-MAX(P))),"")</f>
        <v/>
      </c>
      <c r="G36" s="71" t="str">
        <f ca="1">IFERROR(OFFSET(Q,0,formules!C$63)+WP*((OFFSET(P,0,formules!C$63)-MAX(P))/(MIN(P)-MAX(P))),"")</f>
        <v/>
      </c>
      <c r="H36" s="71" t="str">
        <f ca="1">IFERROR(OFFSET(Q,0,formules!D$63)+WP*((OFFSET(P,0,formules!D$63)-MAX(P))/(MIN(P)-MAX(P))),"")</f>
        <v/>
      </c>
      <c r="I36" s="71" t="str">
        <f ca="1">IFERROR(OFFSET(Q,0,formules!E$63)+WP*((OFFSET(P,0,formules!E$63)-MAX(P))/(MIN(P)-MAX(P))),"")</f>
        <v/>
      </c>
      <c r="J36" s="71" t="str">
        <f ca="1">IFERROR(OFFSET(Q,0,formules!F$63)+WP*((OFFSET(P,0,formules!F$63)-MAX(P))/(MIN(P)-MAX(P))),"")</f>
        <v/>
      </c>
      <c r="K36" s="71" t="str">
        <f ca="1">IFERROR(OFFSET(Q,0,formules!G$63)+WP*((OFFSET(P,0,formules!G$63)-MAX(P))/(MIN(P)-MAX(P))),"")</f>
        <v/>
      </c>
      <c r="L36" s="71" t="str">
        <f ca="1">IFERROR(OFFSET(Q,0,formules!H$63)+WP*((OFFSET(P,0,formules!H$63)-MAX(P))/(MIN(P)-MAX(P))),"")</f>
        <v/>
      </c>
      <c r="M36" s="71" t="str">
        <f ca="1">IFERROR(OFFSET(Q,0,formules!I$63)+WP*((OFFSET(P,0,formules!I$63)-MAX(P))/(MIN(P)-MAX(P))),"")</f>
        <v/>
      </c>
      <c r="N36" s="71" t="str">
        <f ca="1">IFERROR(OFFSET(Q,0,formules!J$63)+WP*((OFFSET(P,0,formules!J$63)-MAX(P))/(MIN(P)-MAX(P))),"")</f>
        <v/>
      </c>
      <c r="O36" s="71" t="str">
        <f ca="1">IFERROR(OFFSET(Q,0,formules!K$63)+WP*((OFFSET(P,0,formules!K$63)-MAX(P))/(MIN(P)-MAX(P))),"")</f>
        <v/>
      </c>
      <c r="P36" s="1"/>
      <c r="Q36" s="103" t="str">
        <f>"Pdidžiausia="&amp;MAX(P)&amp;"€; Pmažiausia="&amp;MIN(P)&amp;"€; Wkokybė="&amp;WQ&amp;"; Wkaina="&amp;WP</f>
        <v>Pdidžiausia=0€; Pmažiausia=0€; Wkokybė=8; Wkaina=92</v>
      </c>
      <c r="U36" s="1">
        <v>1</v>
      </c>
      <c r="V36" s="1">
        <v>5</v>
      </c>
      <c r="W36" s="1">
        <v>2</v>
      </c>
      <c r="X36" s="72">
        <v>1.7600000000000001E-2</v>
      </c>
      <c r="Y36" s="72">
        <v>1.8100000000000002E-2</v>
      </c>
      <c r="Z36" s="72">
        <v>5.7000000000000002E-3</v>
      </c>
      <c r="AA36" s="72">
        <v>1.0999999999999999E-2</v>
      </c>
      <c r="AB36" s="72">
        <v>9.1000000000000004E-3</v>
      </c>
      <c r="AC36" s="72">
        <v>0</v>
      </c>
      <c r="AD36" s="63"/>
      <c r="AE36" s="63"/>
      <c r="AF36" s="63"/>
      <c r="AG36" s="1"/>
      <c r="AH36" s="1"/>
      <c r="AI36" s="1"/>
      <c r="AJ36" s="1"/>
      <c r="AK36" s="1"/>
      <c r="AL36" s="42" t="s">
        <v>130</v>
      </c>
      <c r="AM36" s="42" t="s">
        <v>130</v>
      </c>
      <c r="AN36" s="42" t="s">
        <v>130</v>
      </c>
      <c r="AO36">
        <v>22</v>
      </c>
    </row>
    <row r="37" spans="1:41" ht="97.5" customHeight="1" x14ac:dyDescent="0.25">
      <c r="A37" s="109" t="s">
        <v>131</v>
      </c>
      <c r="B37" s="102"/>
      <c r="C37" s="102">
        <v>23</v>
      </c>
      <c r="D37" s="1"/>
      <c r="E37" s="1"/>
      <c r="F37" s="71" t="str">
        <f ca="1">IFERROR(WP*(COUNT(P)-RANK(OFFSET(P,0,formules!B$63),P,1))/(COUNT(P)-1)+OFFSET(Q,0,formules!B$63),"")</f>
        <v/>
      </c>
      <c r="G37" s="71" t="str">
        <f ca="1">IFERROR(WP*(COUNT(P)-RANK(OFFSET(P,0,formules!C$63),P,1))/(COUNT(P)-1)+OFFSET(Q,0,formules!C$63),"")</f>
        <v/>
      </c>
      <c r="H37" s="71" t="str">
        <f ca="1">IFERROR(WP*(COUNT(P)-RANK(OFFSET(P,0,formules!D$63),P,1))/(COUNT(P)-1)+OFFSET(Q,0,formules!D$63),"")</f>
        <v/>
      </c>
      <c r="I37" s="71" t="str">
        <f ca="1">IFERROR(WP*(COUNT(P)-RANK(OFFSET(P,0,formules!E$63),P,1))/(COUNT(P)-1)+OFFSET(Q,0,formules!E$63),"")</f>
        <v/>
      </c>
      <c r="J37" s="71" t="str">
        <f ca="1">IFERROR(WP*(COUNT(P)-RANK(OFFSET(P,0,formules!F$63),P,1))/(COUNT(P)-1)+OFFSET(Q,0,formules!F$63),"")</f>
        <v/>
      </c>
      <c r="K37" s="71" t="str">
        <f ca="1">IFERROR(WP*(COUNT(P)-RANK(OFFSET(P,0,formules!G$63),P,1))/(COUNT(P)-1)+OFFSET(Q,0,formules!G$63),"")</f>
        <v/>
      </c>
      <c r="L37" s="71" t="str">
        <f ca="1">IFERROR(WP*(COUNT(P)-RANK(OFFSET(P,0,formules!H$63),P,1))/(COUNT(P)-1)+OFFSET(Q,0,formules!H$63),"")</f>
        <v/>
      </c>
      <c r="M37" s="71" t="str">
        <f ca="1">IFERROR(WP*(COUNT(P)-RANK(OFFSET(P,0,formules!I$63),P,1))/(COUNT(P)-1)+OFFSET(Q,0,formules!I$63),"")</f>
        <v/>
      </c>
      <c r="N37" s="71" t="str">
        <f ca="1">IFERROR(WP*(COUNT(P)-RANK(OFFSET(P,0,formules!J$63),P,1))/(COUNT(P)-1)+OFFSET(Q,0,formules!J$63),"")</f>
        <v/>
      </c>
      <c r="O37" s="71" t="str">
        <f ca="1">IFERROR(WP*(COUNT(P)-RANK(OFFSET(P,0,formules!K$63),P,1))/(COUNT(P)-1)+OFFSET(Q,0,formules!K$63),"")</f>
        <v/>
      </c>
      <c r="P37" s="1"/>
      <c r="Q37" s="103" t="str">
        <f>" Wkokybė="&amp;WQ&amp;"; Wkaina="&amp;WP</f>
        <v xml:space="preserve"> Wkokybė=8; Wkaina=92</v>
      </c>
      <c r="R37" t="s">
        <v>132</v>
      </c>
      <c r="U37" s="1">
        <v>1</v>
      </c>
      <c r="V37" s="1">
        <v>5</v>
      </c>
      <c r="W37" s="1">
        <v>2</v>
      </c>
      <c r="X37" s="72">
        <v>8.8900000000000007E-2</v>
      </c>
      <c r="Y37" s="72">
        <v>8.5099999999999995E-2</v>
      </c>
      <c r="Z37" s="72">
        <v>5.1400000000000001E-2</v>
      </c>
      <c r="AA37" s="72">
        <v>1.0999999999999999E-2</v>
      </c>
      <c r="AB37" s="72">
        <v>3.3E-3</v>
      </c>
      <c r="AC37" s="72">
        <v>0</v>
      </c>
      <c r="AD37" s="63"/>
      <c r="AE37" s="63"/>
      <c r="AF37" s="63"/>
      <c r="AG37" s="1"/>
      <c r="AH37" s="1"/>
      <c r="AI37" s="1"/>
      <c r="AJ37" s="1"/>
      <c r="AK37" s="1"/>
      <c r="AL37" s="42">
        <v>0.13869999999999999</v>
      </c>
      <c r="AM37" s="42">
        <v>3.1899999999999998E-2</v>
      </c>
      <c r="AN37" s="42">
        <v>2.4799999999999999E-2</v>
      </c>
      <c r="AO37">
        <v>23</v>
      </c>
    </row>
    <row r="38" spans="1:41" ht="97.5" customHeight="1" x14ac:dyDescent="0.25">
      <c r="A38" s="113" t="s">
        <v>133</v>
      </c>
      <c r="B38" s="114"/>
      <c r="C38" s="114">
        <v>31</v>
      </c>
      <c r="D38" s="115" t="s">
        <v>134</v>
      </c>
      <c r="E38" s="1"/>
      <c r="F38" s="71" t="str">
        <f ca="1">IFERROR((MIN(Qx)+(OFFSET(Qx,0,formules!B$63)-MIN(Qx))*(WQ/WP))/OFFSET(P,0,formules!B$63),"")</f>
        <v/>
      </c>
      <c r="G38" s="71" t="str">
        <f ca="1">IFERROR((MIN(Qx)+(OFFSET(Qx,0,formules!C$63)-MIN(Qx))*(WQ/WP))/OFFSET(P,0,formules!C$63),"")</f>
        <v/>
      </c>
      <c r="H38" s="71" t="str">
        <f ca="1">IFERROR((MIN(Qx)+(OFFSET(Qx,0,formules!D$63)-MIN(Qx))*(WQ/WP))/OFFSET(P,0,formules!D$63),"")</f>
        <v/>
      </c>
      <c r="I38" s="71" t="str">
        <f ca="1">IFERROR((MIN(Qx)+(OFFSET(Qx,0,formules!E$63)-MIN(Qx))*(WQ/WP))/OFFSET(P,0,formules!E$63),"")</f>
        <v/>
      </c>
      <c r="J38" s="71" t="str">
        <f ca="1">IFERROR((MIN(Qx)+(OFFSET(Qx,0,formules!F$63)-MIN(Qx))*(WQ/WP))/OFFSET(P,0,formules!F$63),"")</f>
        <v/>
      </c>
      <c r="K38" s="71" t="str">
        <f ca="1">IFERROR((MIN(Qx)+(OFFSET(Qx,0,formules!G$63)-MIN(Qx))*(WQ/WP))/OFFSET(P,0,formules!G$63),"")</f>
        <v/>
      </c>
      <c r="L38" s="71" t="str">
        <f ca="1">IFERROR((MIN(Qx)+(OFFSET(Qx,0,formules!H$63)-MIN(Qx))*(WQ/WP))/OFFSET(P,0,formules!H$63),"")</f>
        <v/>
      </c>
      <c r="M38" s="71" t="str">
        <f ca="1">IFERROR((MIN(Qx)+(OFFSET(Qx,0,formules!I$63)-MIN(Qx))*(WQ/WP))/OFFSET(P,0,formules!I$63),"")</f>
        <v/>
      </c>
      <c r="N38" s="71" t="str">
        <f ca="1">IFERROR((MIN(Qx)+(OFFSET(Qx,0,formules!J$63)-MIN(Qx))*(WQ/WP))/OFFSET(P,0,formules!J$63),"")</f>
        <v/>
      </c>
      <c r="O38" s="71" t="str">
        <f ca="1">IFERROR((MIN(Qx)+(OFFSET(Qx,0,formules!K$63)-MIN(Qx))*(WQ/WP))/OFFSET(P,0,formules!K$63),"")</f>
        <v/>
      </c>
      <c r="P38" s="1"/>
      <c r="Q38" s="106" t="str">
        <f>"Qmažiausia="&amp;MIN(Qx)*100&amp;"% (arba " &amp;MIN(Qx)&amp;"); Wkokybė="&amp;WQ&amp;"; Wkaina="&amp;WP</f>
        <v>Qmažiausia=0% (arba 0); Wkokybė=8; Wkaina=92</v>
      </c>
      <c r="S38" t="s">
        <v>70</v>
      </c>
      <c r="U38" s="1">
        <v>1</v>
      </c>
      <c r="V38" s="1">
        <v>2</v>
      </c>
      <c r="W38" s="1"/>
      <c r="X38" s="72" t="s">
        <v>84</v>
      </c>
      <c r="Y38" s="72" t="s">
        <v>84</v>
      </c>
      <c r="Z38" s="72" t="s">
        <v>84</v>
      </c>
      <c r="AA38" s="72" t="s">
        <v>84</v>
      </c>
      <c r="AB38" s="72" t="s">
        <v>84</v>
      </c>
      <c r="AC38" s="72" t="s">
        <v>84</v>
      </c>
      <c r="AD38" s="63"/>
      <c r="AE38" s="63"/>
      <c r="AF38" s="63"/>
      <c r="AG38" s="1"/>
      <c r="AH38" s="1"/>
      <c r="AI38" s="1"/>
      <c r="AJ38" s="1"/>
      <c r="AK38" s="1"/>
      <c r="AL38" s="42">
        <v>1.5699999999999999E-2</v>
      </c>
      <c r="AM38" s="42">
        <v>3.2000000000000002E-3</v>
      </c>
      <c r="AN38" s="42">
        <v>1.2999999999999999E-3</v>
      </c>
      <c r="AO38" t="s">
        <v>135</v>
      </c>
    </row>
    <row r="39" spans="1:41" ht="97.5" customHeight="1" x14ac:dyDescent="0.25">
      <c r="A39" s="109" t="s">
        <v>136</v>
      </c>
      <c r="B39" s="102"/>
      <c r="C39" s="102">
        <v>32</v>
      </c>
      <c r="D39" s="1"/>
      <c r="E39" s="1"/>
      <c r="F39" s="71" t="str">
        <f ca="1">IFERROR(((MAX(Qx)*MIN(P))/OFFSET(P,0,formules!B$63))*WP+OFFSET(Q,0,formules!B$63),"")</f>
        <v/>
      </c>
      <c r="G39" s="71" t="str">
        <f ca="1">IFERROR(((MAX(Qx)*MIN(P))/OFFSET(P,0,formules!C$63))*WP+OFFSET(Q,0,formules!C$63),"")</f>
        <v/>
      </c>
      <c r="H39" s="71" t="str">
        <f ca="1">IFERROR(((MAX(Qx)*MIN(P))/OFFSET(P,0,formules!D$63))*WP+OFFSET(Q,0,formules!D$63),"")</f>
        <v/>
      </c>
      <c r="I39" s="71" t="str">
        <f ca="1">IFERROR(((MAX(Qx)*MIN(P))/OFFSET(P,0,formules!E$63))*WP+OFFSET(Q,0,formules!E$63),"")</f>
        <v/>
      </c>
      <c r="J39" s="71" t="str">
        <f ca="1">IFERROR(((MAX(Qx)*MIN(P))/OFFSET(P,0,formules!F$63))*WP+OFFSET(Q,0,formules!F$63),"")</f>
        <v/>
      </c>
      <c r="K39" s="71" t="str">
        <f ca="1">IFERROR(((MAX(Qx)*MIN(P))/OFFSET(P,0,formules!G$63))*WP+OFFSET(Q,0,formules!G$63),"")</f>
        <v/>
      </c>
      <c r="L39" s="71" t="str">
        <f ca="1">IFERROR(((MAX(Qx)*MIN(P))/OFFSET(P,0,formules!H$63))*WP+OFFSET(Q,0,formules!H$63),"")</f>
        <v/>
      </c>
      <c r="M39" s="71" t="str">
        <f ca="1">IFERROR(((MAX(Qx)*MIN(P))/OFFSET(P,0,formules!I$63))*WP+OFFSET(Q,0,formules!I$63),"")</f>
        <v/>
      </c>
      <c r="N39" s="71" t="str">
        <f ca="1">IFERROR(((MAX(Qx)*MIN(P))/OFFSET(P,0,formules!J$63))*WP+OFFSET(Q,0,formules!J$63),"")</f>
        <v/>
      </c>
      <c r="O39" s="71" t="str">
        <f ca="1">IFERROR(((MAX(Qx)*MIN(P))/OFFSET(P,0,formules!K$63))*WP+OFFSET(Q,0,formules!K$63),"")</f>
        <v/>
      </c>
      <c r="P39" s="1"/>
      <c r="Q39" s="106" t="e">
        <f>"Pvidurkis="&amp;ROUND(AVERAGE(P),2)&amp;"€; Pmažiausia="&amp;ROUND(MIN(P),2)&amp;"€; Qdidžiausia="&amp;MAX(Qx)*100&amp;"% (arba " &amp;MAX(Qx)&amp;"); Wkokybė="&amp;WQ&amp;"; Wkaina="&amp;WP</f>
        <v>#DIV/0!</v>
      </c>
      <c r="U39" s="1">
        <v>1</v>
      </c>
      <c r="V39" s="1">
        <v>1</v>
      </c>
      <c r="W39" s="1"/>
      <c r="X39" s="72" t="s">
        <v>84</v>
      </c>
      <c r="Y39" s="72" t="s">
        <v>84</v>
      </c>
      <c r="Z39" s="72" t="s">
        <v>84</v>
      </c>
      <c r="AA39" s="72" t="s">
        <v>84</v>
      </c>
      <c r="AB39" s="72" t="s">
        <v>84</v>
      </c>
      <c r="AC39" s="72" t="s">
        <v>84</v>
      </c>
      <c r="AD39" s="63"/>
      <c r="AE39" s="63"/>
      <c r="AF39" s="63"/>
      <c r="AG39" s="1"/>
      <c r="AH39" s="1"/>
      <c r="AI39" s="1"/>
      <c r="AJ39" s="1"/>
      <c r="AK39" s="1"/>
      <c r="AL39" s="42">
        <v>0.15970000000000001</v>
      </c>
      <c r="AM39" s="42">
        <v>4.4400000000000002E-2</v>
      </c>
      <c r="AN39" s="42">
        <v>0</v>
      </c>
      <c r="AO39" t="s">
        <v>137</v>
      </c>
    </row>
    <row r="40" spans="1:41" ht="97.5" customHeight="1" x14ac:dyDescent="0.25">
      <c r="A40" s="109" t="s">
        <v>138</v>
      </c>
      <c r="B40" s="102"/>
      <c r="C40" s="102">
        <v>33</v>
      </c>
      <c r="D40" s="1"/>
      <c r="E40" s="1"/>
      <c r="F40" s="71" t="str">
        <f ca="1">IFERROR((OFFSET(Q,0,formules!B$63)/MEDIAN(Q)*WQ)-(OFFSET(P,0,formules!B$63)/MEDIAN(P)*WP),"")</f>
        <v/>
      </c>
      <c r="G40" s="71" t="str">
        <f ca="1">IFERROR((OFFSET(Q,0,formules!C$63)/MEDIAN(Q)*WQ)-(OFFSET(P,0,formules!C$63)/MEDIAN(P)*WP),"")</f>
        <v/>
      </c>
      <c r="H40" s="71" t="str">
        <f ca="1">IFERROR((OFFSET(Q,0,formules!D$63)/MEDIAN(Q)*WQ)-(OFFSET(P,0,formules!D$63)/MEDIAN(P)*WP),"")</f>
        <v/>
      </c>
      <c r="I40" s="71" t="str">
        <f ca="1">IFERROR((OFFSET(Q,0,formules!E$63)/MEDIAN(Q)*WQ)-(OFFSET(P,0,formules!E$63)/MEDIAN(P)*WP),"")</f>
        <v/>
      </c>
      <c r="J40" s="71" t="str">
        <f ca="1">IFERROR((OFFSET(Q,0,formules!F$63)/MEDIAN(Q)*WQ)-(OFFSET(P,0,formules!F$63)/MEDIAN(P)*WP),"")</f>
        <v/>
      </c>
      <c r="K40" s="71" t="str">
        <f ca="1">IFERROR((OFFSET(Q,0,formules!G$63)/MEDIAN(Q)*WQ)-(OFFSET(P,0,formules!G$63)/MEDIAN(P)*WP),"")</f>
        <v/>
      </c>
      <c r="L40" s="71" t="str">
        <f ca="1">IFERROR((OFFSET(Q,0,formules!H$63)/MEDIAN(Q)*WQ)-(OFFSET(P,0,formules!H$63)/MEDIAN(P)*WP),"")</f>
        <v/>
      </c>
      <c r="M40" s="71" t="str">
        <f ca="1">IFERROR((OFFSET(Q,0,formules!I$63)/MEDIAN(Q)*WQ)-(OFFSET(P,0,formules!I$63)/MEDIAN(P)*WP),"")</f>
        <v/>
      </c>
      <c r="N40" s="71" t="str">
        <f ca="1">IFERROR((OFFSET(Q,0,formules!J$63)/MEDIAN(Q)*WQ)-(OFFSET(P,0,formules!J$63)/MEDIAN(P)*WP),"")</f>
        <v/>
      </c>
      <c r="O40" s="71" t="str">
        <f ca="1">IFERROR((OFFSET(Q,0,formules!K$63)/MEDIAN(Q)*WQ)-(OFFSET(P,0,formules!K$63)/MEDIAN(P)*WP),"")</f>
        <v/>
      </c>
      <c r="P40" s="1"/>
      <c r="Q40" s="106" t="e">
        <f>"Pmediana="&amp;ROUND(MEDIAN(P),2)&amp;"€; Qmediana="&amp;MEDIAN(Qx)*100&amp;"% (arba " &amp;MEDIAN(Qx)&amp;"); Wkokybė="&amp;WQ&amp;"; Wkaina="&amp;WP</f>
        <v>#NUM!</v>
      </c>
      <c r="S40" t="s">
        <v>70</v>
      </c>
      <c r="U40" s="1">
        <v>1</v>
      </c>
      <c r="V40" s="1">
        <v>2</v>
      </c>
      <c r="W40" s="1"/>
      <c r="X40" s="72" t="s">
        <v>84</v>
      </c>
      <c r="Y40" s="72" t="s">
        <v>84</v>
      </c>
      <c r="Z40" s="72" t="s">
        <v>84</v>
      </c>
      <c r="AA40" s="72" t="s">
        <v>84</v>
      </c>
      <c r="AB40" s="72" t="s">
        <v>84</v>
      </c>
      <c r="AC40" s="72" t="s">
        <v>84</v>
      </c>
      <c r="AD40" s="63"/>
      <c r="AE40" s="63"/>
      <c r="AF40" s="63"/>
      <c r="AG40" s="1"/>
      <c r="AH40" s="1"/>
      <c r="AI40" s="1"/>
      <c r="AJ40" s="1"/>
      <c r="AK40" s="1"/>
      <c r="AL40" s="42">
        <v>2.8799999999999999E-2</v>
      </c>
      <c r="AM40" s="42">
        <v>2.24E-2</v>
      </c>
      <c r="AN40" s="42">
        <v>4.5999999999999999E-3</v>
      </c>
      <c r="AO40" t="s">
        <v>139</v>
      </c>
    </row>
    <row r="41" spans="1:41" ht="97.5" customHeight="1" x14ac:dyDescent="0.25">
      <c r="A41" s="109" t="s">
        <v>140</v>
      </c>
      <c r="B41" s="102"/>
      <c r="C41" s="102">
        <v>34</v>
      </c>
      <c r="D41" s="1"/>
      <c r="E41" s="1"/>
      <c r="F41" s="71" t="str">
        <f ca="1">IFERROR(((AVERAGE(P)-OFFSET(P,0,formules!B$63)+MIN(P))/AVERAGE(P))*WP+(OFFSET(Q,0,formules!B$63)/MAX(Q)*WQ),"")</f>
        <v/>
      </c>
      <c r="G41" s="71" t="str">
        <f ca="1">IFERROR(((AVERAGE(P)-OFFSET(P,0,formules!C$63)+MIN(P))/AVERAGE(P))*WP+(OFFSET(Q,0,formules!C$63)/MAX(Q)*WQ),"")</f>
        <v/>
      </c>
      <c r="H41" s="71" t="str">
        <f ca="1">IFERROR(((AVERAGE(P)-OFFSET(P,0,formules!D$63)+MIN(P))/AVERAGE(P))*WP+(OFFSET(Q,0,formules!D$63)/MAX(Q)*WQ),"")</f>
        <v/>
      </c>
      <c r="I41" s="71" t="str">
        <f ca="1">IFERROR(((AVERAGE(P)-OFFSET(P,0,formules!E$63)+MIN(P))/AVERAGE(P))*WP+(OFFSET(Q,0,formules!E$63)/MAX(Q)*WQ),"")</f>
        <v/>
      </c>
      <c r="J41" s="71" t="str">
        <f ca="1">IFERROR(((AVERAGE(P)-OFFSET(P,0,formules!F$63)+MIN(P))/AVERAGE(P))*WP+(OFFSET(Q,0,formules!F$63)/MAX(Q)*WQ),"")</f>
        <v/>
      </c>
      <c r="K41" s="71" t="str">
        <f ca="1">IFERROR(((AVERAGE(P)-OFFSET(P,0,formules!G$63)+MIN(P))/AVERAGE(P))*WP+(OFFSET(Q,0,formules!G$63)/MAX(Q)*WQ),"")</f>
        <v/>
      </c>
      <c r="L41" s="71" t="str">
        <f ca="1">IFERROR(((AVERAGE(P)-OFFSET(P,0,formules!H$63)+MIN(P))/AVERAGE(P))*WP+(OFFSET(Q,0,formules!H$63)/MAX(Q)*WQ),"")</f>
        <v/>
      </c>
      <c r="M41" s="71" t="str">
        <f ca="1">IFERROR(((AVERAGE(P)-OFFSET(P,0,formules!I$63)+MIN(P))/AVERAGE(P))*WP+(OFFSET(Q,0,formules!I$63)/MAX(Q)*WQ),"")</f>
        <v/>
      </c>
      <c r="N41" s="71" t="str">
        <f ca="1">IFERROR(((AVERAGE(P)-OFFSET(P,0,formules!J$63)+MIN(P))/AVERAGE(P))*WP+(OFFSET(Q,0,formules!J$63)/MAX(Q)*WQ),"")</f>
        <v/>
      </c>
      <c r="O41" s="71" t="str">
        <f ca="1">IFERROR(((AVERAGE(P)-OFFSET(P,0,formules!K$63)+MIN(P))/AVERAGE(P))*WP+(OFFSET(Q,0,formules!K$63)/MAX(Q)*WQ),"")</f>
        <v/>
      </c>
      <c r="P41" s="1"/>
      <c r="Q41" s="106" t="e">
        <f>"Pvidurkis="&amp;ROUND(AVERAGE(P),2)&amp;"€; Pmažiausia="&amp;ROUND(MIN(P),2)&amp;"€; Qdidžiausia="&amp;MAX(Qx)*100&amp;"% (arba " &amp;MAX(Qx)&amp;"); Wkokybė="&amp;WQ&amp;"; Wkaina="&amp;WP</f>
        <v>#DIV/0!</v>
      </c>
      <c r="S41" t="s">
        <v>70</v>
      </c>
      <c r="U41" s="1">
        <v>1</v>
      </c>
      <c r="V41" s="1">
        <v>2</v>
      </c>
      <c r="W41" s="1"/>
      <c r="X41" s="72" t="s">
        <v>84</v>
      </c>
      <c r="Y41" s="72" t="s">
        <v>84</v>
      </c>
      <c r="Z41" s="72" t="s">
        <v>84</v>
      </c>
      <c r="AA41" s="72" t="s">
        <v>84</v>
      </c>
      <c r="AB41" s="72" t="s">
        <v>84</v>
      </c>
      <c r="AC41" s="72" t="s">
        <v>84</v>
      </c>
      <c r="AD41" s="63"/>
      <c r="AE41" s="63"/>
      <c r="AF41" s="63"/>
      <c r="AG41" s="1"/>
      <c r="AH41" s="1"/>
      <c r="AI41" s="1"/>
      <c r="AJ41" s="1"/>
      <c r="AK41" s="1"/>
      <c r="AL41" s="42">
        <v>2.6200000000000001E-2</v>
      </c>
      <c r="AM41" s="42">
        <v>1.9199999999999998E-2</v>
      </c>
      <c r="AN41" s="42">
        <v>0</v>
      </c>
      <c r="AO41" t="s">
        <v>141</v>
      </c>
    </row>
    <row r="42" spans="1:41" ht="97.5" customHeight="1" x14ac:dyDescent="0.25">
      <c r="A42" s="109" t="s">
        <v>142</v>
      </c>
      <c r="B42" s="102"/>
      <c r="C42" s="102">
        <v>35</v>
      </c>
      <c r="D42" s="1"/>
      <c r="E42" s="1"/>
      <c r="F42" s="71" t="str">
        <f ca="1">IFERROR(((2*MIN(P)-OFFSET(P,0,formules!B$63))/MIN(P))*WP+(OFFSET(Q,0,formules!B$63)/MAX(Q)*WQ),"")</f>
        <v/>
      </c>
      <c r="G42" s="71" t="str">
        <f ca="1">IFERROR(((2*MIN(P)-OFFSET(P,0,formules!C$63))/MIN(P))*WP+(OFFSET(Q,0,formules!C$63)/MAX(Q)*WQ),"")</f>
        <v/>
      </c>
      <c r="H42" s="71" t="str">
        <f ca="1">IFERROR(((2*MIN(P)-OFFSET(P,0,formules!D$63))/MIN(P))*WP+(OFFSET(Q,0,formules!D$63)/MAX(Q)*WQ),"")</f>
        <v/>
      </c>
      <c r="I42" s="71" t="str">
        <f ca="1">IFERROR(((2*MIN(P)-OFFSET(P,0,formules!E$63))/MIN(P))*WP+(OFFSET(Q,0,formules!E$63)/MAX(Q)*WQ),"")</f>
        <v/>
      </c>
      <c r="J42" s="71" t="str">
        <f ca="1">IFERROR(((2*MIN(P)-OFFSET(P,0,formules!F$63))/MIN(P))*WP+(OFFSET(Q,0,formules!F$63)/MAX(Q)*WQ),"")</f>
        <v/>
      </c>
      <c r="K42" s="71" t="str">
        <f ca="1">IFERROR(((2*MIN(P)-OFFSET(P,0,formules!G$63))/MIN(P))*WP+(OFFSET(Q,0,formules!G$63)/MAX(Q)*WQ),"")</f>
        <v/>
      </c>
      <c r="L42" s="71" t="str">
        <f ca="1">IFERROR(((2*MIN(P)-OFFSET(P,0,formules!H$63))/MIN(P))*WP+(OFFSET(Q,0,formules!H$63)/MAX(Q)*WQ),"")</f>
        <v/>
      </c>
      <c r="M42" s="71" t="str">
        <f ca="1">IFERROR(((2*MIN(P)-OFFSET(P,0,formules!I$63))/MIN(P))*WP+(OFFSET(Q,0,formules!I$63)/MAX(Q)*WQ),"")</f>
        <v/>
      </c>
      <c r="N42" s="71" t="str">
        <f ca="1">IFERROR(((2*MIN(P)-OFFSET(P,0,formules!J$63))/MIN(P))*WP+(OFFSET(Q,0,formules!J$63)/MAX(Q)*WQ),"")</f>
        <v/>
      </c>
      <c r="O42" s="71" t="str">
        <f ca="1">IFERROR(((2*MIN(P)-OFFSET(P,0,formules!K$63))/MIN(P))*WP+(OFFSET(Q,0,formules!K$63)/MAX(Q)*WQ),"")</f>
        <v/>
      </c>
      <c r="P42" s="1"/>
      <c r="Q42" s="106" t="str">
        <f>"Pdidžiausia="&amp;ROUND(MAX(P),2)&amp;"€ Pmažiausia="&amp;ROUND(MIN(P),2)&amp;"€; Qdidžiausia="&amp;MAX(Qx)*100&amp;"% (arba " &amp;MAX(Qx)&amp;"); Wkokybė="&amp;WQ&amp;"; Wkaina="&amp;WP</f>
        <v>Pdidžiausia=0€ Pmažiausia=0€; Qdidžiausia=0% (arba 0); Wkokybė=8; Wkaina=92</v>
      </c>
      <c r="S42" t="s">
        <v>70</v>
      </c>
      <c r="U42" s="1">
        <v>1</v>
      </c>
      <c r="V42" s="1">
        <v>2</v>
      </c>
      <c r="W42" s="1"/>
      <c r="X42" s="72" t="s">
        <v>84</v>
      </c>
      <c r="Y42" s="72" t="s">
        <v>84</v>
      </c>
      <c r="Z42" s="72" t="s">
        <v>84</v>
      </c>
      <c r="AA42" s="72" t="s">
        <v>84</v>
      </c>
      <c r="AB42" s="72" t="s">
        <v>84</v>
      </c>
      <c r="AC42" s="72" t="s">
        <v>84</v>
      </c>
      <c r="AD42" s="63"/>
      <c r="AE42" s="63"/>
      <c r="AF42" s="63"/>
      <c r="AG42" s="1"/>
      <c r="AH42" s="1"/>
      <c r="AI42" s="1"/>
      <c r="AJ42" s="1"/>
      <c r="AK42" s="1"/>
      <c r="AL42" s="42">
        <v>1.5699999999999999E-2</v>
      </c>
      <c r="AM42" s="42">
        <v>4.1500000000000002E-2</v>
      </c>
      <c r="AN42" s="42">
        <v>0</v>
      </c>
      <c r="AO42" t="s">
        <v>143</v>
      </c>
    </row>
    <row r="43" spans="1:41" ht="97.5" customHeight="1" x14ac:dyDescent="0.25">
      <c r="A43" s="109" t="s">
        <v>144</v>
      </c>
      <c r="B43" s="102"/>
      <c r="C43" s="102">
        <v>36</v>
      </c>
      <c r="D43" s="1"/>
      <c r="E43" s="1"/>
      <c r="F43" s="71" t="str">
        <f ca="1">IFERROR(((MAX(P)-OFFSET(P,0,formules!B$63))/(MAX(P)-MIN(P)))*WP+(OFFSET(Q,0,formules!B$63)/MAX(Q)*WQ),"")</f>
        <v/>
      </c>
      <c r="G43" s="71" t="str">
        <f ca="1">IFERROR(((MAX(P)-OFFSET(P,0,formules!C$63))/(MAX(P)-MIN(P)))*WP+(OFFSET(Q,0,formules!C$63)/MAX(Q)*WQ),"")</f>
        <v/>
      </c>
      <c r="H43" s="71" t="str">
        <f ca="1">IFERROR(((MAX(P)-OFFSET(P,0,formules!D$63))/(MAX(P)-MIN(P)))*WP+(OFFSET(Q,0,formules!D$63)/MAX(Q)*WQ),"")</f>
        <v/>
      </c>
      <c r="I43" s="71" t="str">
        <f ca="1">IFERROR(((MAX(P)-OFFSET(P,0,formules!E$63))/(MAX(P)-MIN(P)))*WP+(OFFSET(Q,0,formules!E$63)/MAX(Q)*WQ),"")</f>
        <v/>
      </c>
      <c r="J43" s="71" t="str">
        <f ca="1">IFERROR(((MAX(P)-OFFSET(P,0,formules!F$63))/(MAX(P)-MIN(P)))*WP+(OFFSET(Q,0,formules!F$63)/MAX(Q)*WQ),"")</f>
        <v/>
      </c>
      <c r="K43" s="71" t="str">
        <f ca="1">IFERROR(((MAX(P)-OFFSET(P,0,formules!G$63))/(MAX(P)-MIN(P)))*WP+(OFFSET(Q,0,formules!G$63)/MAX(Q)*WQ),"")</f>
        <v/>
      </c>
      <c r="L43" s="71" t="str">
        <f ca="1">IFERROR(((MAX(P)-OFFSET(P,0,formules!H$63))/(MAX(P)-MIN(P)))*WP+(OFFSET(Q,0,formules!H$63)/MAX(Q)*WQ),"")</f>
        <v/>
      </c>
      <c r="M43" s="71" t="str">
        <f ca="1">IFERROR(((MAX(P)-OFFSET(P,0,formules!I$63))/(MAX(P)-MIN(P)))*WP+(OFFSET(Q,0,formules!I$63)/MAX(Q)*WQ),"")</f>
        <v/>
      </c>
      <c r="N43" s="71" t="str">
        <f ca="1">IFERROR(((MAX(P)-OFFSET(P,0,formules!J$63))/(MAX(P)-MIN(P)))*WP+(OFFSET(Q,0,formules!J$63)/MAX(Q)*WQ),"")</f>
        <v/>
      </c>
      <c r="O43" s="71" t="str">
        <f ca="1">IFERROR(((MAX(P)-OFFSET(P,0,formules!K$63))/(MAX(P)-MIN(P)))*WP+(OFFSET(Q,0,formules!K$63)/MAX(Q)*WQ),"")</f>
        <v/>
      </c>
      <c r="P43" s="1"/>
      <c r="Q43" s="106" t="str">
        <f>"Pdidžiausia="&amp;ROUND(MAX(P),2)&amp;"€; Pmažiausia="&amp;ROUND(MIN(P),2)&amp;"€; Qdidžiausia="&amp;MAX(Qx)*100&amp;"% (arba " &amp;MAX(Qx)&amp;"); Wkokybė="&amp;WQ&amp;"; Wkaina="&amp;WP</f>
        <v>Pdidžiausia=0€; Pmažiausia=0€; Qdidžiausia=0% (arba 0); Wkokybė=8; Wkaina=92</v>
      </c>
      <c r="S43" t="s">
        <v>70</v>
      </c>
      <c r="U43" s="1">
        <v>1</v>
      </c>
      <c r="V43" s="1">
        <v>5</v>
      </c>
      <c r="W43" s="1"/>
      <c r="X43" s="72" t="s">
        <v>84</v>
      </c>
      <c r="Y43" s="72" t="s">
        <v>84</v>
      </c>
      <c r="Z43" s="72" t="s">
        <v>84</v>
      </c>
      <c r="AA43" s="72" t="s">
        <v>84</v>
      </c>
      <c r="AB43" s="72" t="s">
        <v>84</v>
      </c>
      <c r="AC43" s="72" t="s">
        <v>84</v>
      </c>
      <c r="AD43" s="63"/>
      <c r="AE43" s="63"/>
      <c r="AF43" s="63"/>
      <c r="AG43" s="1"/>
      <c r="AH43" s="1"/>
      <c r="AI43" s="1"/>
      <c r="AJ43" s="1"/>
      <c r="AK43" s="1"/>
      <c r="AL43" s="42">
        <v>0.1099</v>
      </c>
      <c r="AM43" s="42">
        <v>6.0900000000000003E-2</v>
      </c>
      <c r="AN43" s="42">
        <v>0</v>
      </c>
      <c r="AO43" t="s">
        <v>145</v>
      </c>
    </row>
    <row r="44" spans="1:41" ht="48" customHeight="1" x14ac:dyDescent="0.25">
      <c r="Q44" s="83"/>
      <c r="U44" s="84"/>
      <c r="V44" s="84"/>
      <c r="W44" s="84"/>
      <c r="X44" s="85"/>
      <c r="Y44" s="85"/>
      <c r="Z44" s="85"/>
      <c r="AA44" s="85"/>
      <c r="AB44" s="85"/>
      <c r="AC44" s="85"/>
      <c r="AD44" s="86"/>
      <c r="AE44" s="86"/>
      <c r="AF44" s="86"/>
      <c r="AG44" s="84"/>
      <c r="AH44" s="84"/>
      <c r="AI44" s="84"/>
      <c r="AJ44" s="84"/>
      <c r="AK44" s="84"/>
      <c r="AL44" s="42"/>
      <c r="AM44" s="75"/>
      <c r="AN44" s="75"/>
    </row>
    <row r="45" spans="1:41" ht="48" customHeight="1" x14ac:dyDescent="0.25">
      <c r="Q45" s="83"/>
      <c r="X45" s="87"/>
      <c r="Y45" s="87"/>
      <c r="Z45" s="87"/>
      <c r="AA45" s="87"/>
      <c r="AB45" s="87"/>
      <c r="AC45" s="87"/>
      <c r="AD45" s="41"/>
      <c r="AE45" s="41"/>
      <c r="AF45" s="41"/>
      <c r="AL45" s="87"/>
      <c r="AM45" s="88"/>
      <c r="AN45" s="88"/>
    </row>
    <row r="46" spans="1:41" ht="48" customHeight="1" x14ac:dyDescent="0.25">
      <c r="Q46" s="83"/>
      <c r="X46" s="87"/>
      <c r="Y46" s="87"/>
      <c r="Z46" s="87"/>
      <c r="AA46" s="87"/>
      <c r="AB46" s="87"/>
      <c r="AC46" s="87"/>
      <c r="AD46" s="41"/>
      <c r="AE46" s="41"/>
      <c r="AF46" s="41"/>
      <c r="AL46" s="87"/>
      <c r="AM46" s="88"/>
      <c r="AN46" s="88"/>
    </row>
    <row r="47" spans="1:41" ht="28.5" customHeight="1" x14ac:dyDescent="0.25">
      <c r="P47" s="83"/>
      <c r="X47" s="87"/>
      <c r="Y47" s="87"/>
      <c r="Z47" s="87"/>
      <c r="AA47" s="87"/>
      <c r="AB47" s="87"/>
      <c r="AC47" s="87"/>
      <c r="AD47" s="41"/>
      <c r="AE47" s="41"/>
      <c r="AF47" s="41"/>
      <c r="AL47" s="87"/>
      <c r="AM47" s="88"/>
      <c r="AN47" s="88"/>
    </row>
    <row r="48" spans="1:41" ht="28.5" customHeight="1" x14ac:dyDescent="0.25">
      <c r="A48" s="74"/>
      <c r="B48" s="74"/>
      <c r="C48" s="74"/>
      <c r="D48" s="74" t="s">
        <v>146</v>
      </c>
      <c r="E48" s="74" t="s">
        <v>147</v>
      </c>
      <c r="X48" s="87"/>
      <c r="Y48" s="87"/>
      <c r="Z48" s="87"/>
      <c r="AA48" s="87"/>
      <c r="AB48" s="87"/>
      <c r="AC48" s="87"/>
      <c r="AD48" s="41"/>
      <c r="AE48" s="41"/>
      <c r="AF48" s="41"/>
      <c r="AL48" s="87"/>
      <c r="AM48" s="88"/>
      <c r="AN48" s="88"/>
    </row>
    <row r="49" spans="1:40" ht="58.5" customHeight="1" x14ac:dyDescent="0.25">
      <c r="A49" s="89" t="s">
        <v>148</v>
      </c>
      <c r="B49" s="89"/>
      <c r="C49" s="90"/>
      <c r="D49" s="90" t="s">
        <v>149</v>
      </c>
      <c r="E49" s="90"/>
      <c r="X49" s="87"/>
      <c r="Y49" s="87"/>
      <c r="Z49" s="87"/>
      <c r="AA49" s="87"/>
      <c r="AB49" s="87"/>
      <c r="AC49" s="87"/>
      <c r="AD49" s="41"/>
      <c r="AE49" s="41"/>
      <c r="AF49" s="41"/>
      <c r="AL49" s="87"/>
      <c r="AM49" s="88"/>
      <c r="AN49" s="88"/>
    </row>
    <row r="50" spans="1:40" ht="58.5" customHeight="1" x14ac:dyDescent="0.25">
      <c r="A50" s="89" t="s">
        <v>150</v>
      </c>
      <c r="B50" s="89"/>
      <c r="C50" s="90">
        <v>1</v>
      </c>
      <c r="D50" s="90">
        <v>1</v>
      </c>
      <c r="E50" s="90"/>
      <c r="X50" s="87"/>
      <c r="Y50" s="87"/>
      <c r="Z50" s="87"/>
      <c r="AA50" s="87"/>
      <c r="AB50" s="87"/>
      <c r="AC50" s="87"/>
      <c r="AD50" s="41"/>
      <c r="AE50" s="41"/>
      <c r="AF50" s="41"/>
      <c r="AL50" s="87"/>
      <c r="AM50" s="88"/>
      <c r="AN50" s="88"/>
    </row>
    <row r="51" spans="1:40" ht="58.5" customHeight="1" x14ac:dyDescent="0.25">
      <c r="A51" s="89" t="s">
        <v>151</v>
      </c>
      <c r="B51" s="89"/>
      <c r="C51" s="90">
        <v>2</v>
      </c>
      <c r="D51" s="90">
        <v>1</v>
      </c>
      <c r="E51" s="90"/>
      <c r="X51" s="87"/>
      <c r="Y51" s="87"/>
      <c r="Z51" s="87"/>
      <c r="AA51" s="87"/>
      <c r="AB51" s="87"/>
      <c r="AC51" s="87"/>
      <c r="AD51" s="41"/>
      <c r="AE51" s="41"/>
      <c r="AF51" s="41"/>
      <c r="AL51" s="87"/>
      <c r="AM51" s="88"/>
      <c r="AN51" s="88"/>
    </row>
    <row r="52" spans="1:40" ht="58.5" customHeight="1" x14ac:dyDescent="0.25">
      <c r="A52" s="197" t="s">
        <v>152</v>
      </c>
      <c r="B52" s="197"/>
      <c r="C52" s="90">
        <v>3</v>
      </c>
      <c r="D52" s="195" t="s">
        <v>153</v>
      </c>
      <c r="E52" s="195"/>
      <c r="X52" s="87"/>
      <c r="Y52" s="87"/>
      <c r="Z52" s="87"/>
      <c r="AA52" s="87"/>
      <c r="AB52" s="87"/>
      <c r="AC52" s="87"/>
      <c r="AD52" s="41"/>
      <c r="AE52" s="41"/>
      <c r="AF52" s="41"/>
      <c r="AL52" s="87"/>
      <c r="AM52" s="88"/>
      <c r="AN52" s="88"/>
    </row>
    <row r="53" spans="1:40" ht="58.5" customHeight="1" x14ac:dyDescent="0.25">
      <c r="A53" s="89" t="s">
        <v>34</v>
      </c>
      <c r="B53" s="89"/>
      <c r="C53" s="90">
        <v>4</v>
      </c>
      <c r="D53" s="198" t="s">
        <v>154</v>
      </c>
      <c r="E53" s="198"/>
      <c r="X53" s="87"/>
      <c r="Y53" s="87"/>
      <c r="Z53" s="87"/>
      <c r="AA53" s="87"/>
      <c r="AB53" s="87"/>
      <c r="AC53" s="87"/>
      <c r="AD53" s="41"/>
      <c r="AE53" s="41"/>
      <c r="AF53" s="41"/>
      <c r="AL53" s="87"/>
      <c r="AM53" s="88"/>
      <c r="AN53" s="88"/>
    </row>
    <row r="54" spans="1:40" ht="58.5" customHeight="1" x14ac:dyDescent="0.25">
      <c r="A54" s="91" t="s">
        <v>155</v>
      </c>
      <c r="B54" s="89"/>
      <c r="C54" s="90">
        <v>5</v>
      </c>
      <c r="D54" s="195"/>
      <c r="E54" s="195"/>
      <c r="X54" s="87"/>
      <c r="Y54" s="87"/>
      <c r="Z54" s="87"/>
      <c r="AA54" s="87"/>
      <c r="AB54" s="87"/>
      <c r="AC54" s="87"/>
      <c r="AD54" s="41"/>
      <c r="AE54" s="41"/>
      <c r="AF54" s="41"/>
      <c r="AL54" s="87"/>
      <c r="AM54" s="88"/>
      <c r="AN54" s="88"/>
    </row>
    <row r="55" spans="1:40" ht="58.5" customHeight="1" x14ac:dyDescent="0.25">
      <c r="A55" s="89" t="s">
        <v>156</v>
      </c>
      <c r="B55" s="89"/>
      <c r="C55" s="90">
        <v>6</v>
      </c>
      <c r="D55" s="195"/>
      <c r="E55" s="195"/>
      <c r="X55" s="87"/>
      <c r="Y55" s="87"/>
      <c r="Z55" s="87"/>
      <c r="AA55" s="87"/>
      <c r="AB55" s="87"/>
      <c r="AC55" s="87"/>
      <c r="AD55" s="41"/>
      <c r="AE55" s="41"/>
      <c r="AF55" s="41"/>
      <c r="AL55" s="87"/>
      <c r="AM55" s="88"/>
      <c r="AN55" s="88"/>
    </row>
    <row r="56" spans="1:40" ht="58.5" customHeight="1" x14ac:dyDescent="0.25">
      <c r="X56" s="87"/>
      <c r="Y56" s="87"/>
      <c r="Z56" s="87"/>
      <c r="AA56" s="87"/>
      <c r="AB56" s="87"/>
      <c r="AC56" s="87"/>
      <c r="AD56" s="41"/>
      <c r="AE56" s="41"/>
      <c r="AF56" s="41"/>
      <c r="AL56" s="87"/>
      <c r="AM56" s="88"/>
      <c r="AN56" s="88"/>
    </row>
    <row r="57" spans="1:40" ht="28.5" customHeight="1" x14ac:dyDescent="0.25">
      <c r="A57" t="s">
        <v>157</v>
      </c>
      <c r="B57">
        <f>100-duomenys!A11</f>
        <v>8</v>
      </c>
      <c r="X57" s="87"/>
      <c r="Y57" s="87"/>
      <c r="Z57" s="87"/>
      <c r="AA57" s="87"/>
      <c r="AB57" s="87"/>
      <c r="AC57" s="87"/>
      <c r="AD57" s="41"/>
      <c r="AE57" s="41"/>
      <c r="AF57" s="41"/>
      <c r="AL57" s="87"/>
      <c r="AM57" s="88"/>
      <c r="AN57" s="88"/>
    </row>
    <row r="58" spans="1:40" ht="28.5" customHeight="1" x14ac:dyDescent="0.25">
      <c r="A58" t="s">
        <v>158</v>
      </c>
      <c r="B58">
        <f>IFERROR(SMALL(P,COUNTIF(P,0)+COUNTIF(P,SMALL(P,COUNTIF(P,0)+1))+1),0)</f>
        <v>0</v>
      </c>
      <c r="X58" s="87"/>
      <c r="Y58" s="87"/>
      <c r="Z58" s="87"/>
      <c r="AA58" s="87"/>
      <c r="AB58" s="87"/>
      <c r="AC58" s="87"/>
      <c r="AD58" s="41"/>
      <c r="AE58" s="41"/>
      <c r="AF58" s="41"/>
      <c r="AL58" s="87"/>
      <c r="AM58" s="88"/>
      <c r="AN58" s="88"/>
    </row>
    <row r="59" spans="1:40" ht="28.5" customHeight="1" x14ac:dyDescent="0.25">
      <c r="A59" t="s">
        <v>159</v>
      </c>
      <c r="B59">
        <f>VLOOKUP(duomenys!C11,formules!A2:C47,3,FALSE)</f>
        <v>18</v>
      </c>
      <c r="X59" s="87"/>
      <c r="Y59" s="87"/>
      <c r="Z59" s="87"/>
      <c r="AA59" s="87"/>
      <c r="AB59" s="87"/>
      <c r="AC59" s="87"/>
      <c r="AD59" s="41"/>
      <c r="AE59" s="41"/>
      <c r="AF59" s="41"/>
      <c r="AL59" s="87"/>
      <c r="AM59" s="88"/>
      <c r="AN59" s="88"/>
    </row>
    <row r="60" spans="1:40" ht="28.5" customHeight="1" x14ac:dyDescent="0.25">
      <c r="A60" t="s">
        <v>160</v>
      </c>
      <c r="B60">
        <f>VLOOKUP(B59,formules!C2:AC47,21)</f>
        <v>1</v>
      </c>
      <c r="X60" s="87"/>
      <c r="Y60" s="87"/>
      <c r="Z60" s="87"/>
      <c r="AA60" s="87"/>
      <c r="AB60" s="87"/>
      <c r="AC60" s="87"/>
      <c r="AD60" s="41"/>
      <c r="AE60" s="41"/>
      <c r="AF60" s="41"/>
      <c r="AL60" s="87"/>
      <c r="AM60" s="88"/>
      <c r="AN60" s="88"/>
    </row>
    <row r="61" spans="1:40" ht="28.5" customHeight="1" x14ac:dyDescent="0.25">
      <c r="X61" s="87"/>
      <c r="Y61" s="87"/>
      <c r="Z61" s="87"/>
      <c r="AA61" s="87"/>
      <c r="AB61" s="87"/>
      <c r="AC61" s="87"/>
      <c r="AD61" s="41"/>
      <c r="AE61" s="41"/>
      <c r="AF61" s="41"/>
      <c r="AL61" s="87"/>
      <c r="AM61" s="88"/>
      <c r="AN61" s="88"/>
    </row>
    <row r="62" spans="1:40" ht="28.5" customHeight="1" x14ac:dyDescent="0.25">
      <c r="A62" t="s">
        <v>161</v>
      </c>
      <c r="B62" t="str">
        <f>IFERROR(RANK(duomenys!F11,P,1),"")</f>
        <v/>
      </c>
      <c r="C62" t="str">
        <f>IFERROR(RANK(duomenys!G11,P,1),"")</f>
        <v/>
      </c>
      <c r="D62" t="str">
        <f>IFERROR(RANK(duomenys!H11,P,1),"")</f>
        <v/>
      </c>
      <c r="E62" t="str">
        <f>IFERROR(RANK(duomenys!I11,P,1),"")</f>
        <v/>
      </c>
      <c r="F62" t="str">
        <f>IFERROR(RANK(duomenys!J11,P,1),"")</f>
        <v/>
      </c>
      <c r="G62" t="str">
        <f>IFERROR(RANK(duomenys!K11,P,1),"")</f>
        <v/>
      </c>
      <c r="H62" t="str">
        <f>IFERROR(RANK(duomenys!L11,P,1),"")</f>
        <v/>
      </c>
      <c r="I62" t="str">
        <f>IFERROR(RANK(duomenys!M11,P,1),"")</f>
        <v/>
      </c>
      <c r="J62" t="str">
        <f>IFERROR(RANK(duomenys!N11,P,1),"")</f>
        <v/>
      </c>
      <c r="K62" t="str">
        <f>IFERROR(RANK(duomenys!O11,P,1),"")</f>
        <v/>
      </c>
      <c r="X62" s="87"/>
      <c r="Y62" s="87"/>
      <c r="Z62" s="87"/>
      <c r="AA62" s="87"/>
      <c r="AB62" s="87"/>
      <c r="AC62" s="87"/>
      <c r="AD62" s="41"/>
      <c r="AE62" s="41"/>
      <c r="AF62" s="41"/>
      <c r="AL62" s="87"/>
      <c r="AM62" s="88"/>
      <c r="AN62" s="88"/>
    </row>
    <row r="63" spans="1:40" ht="28.5" customHeight="1" x14ac:dyDescent="0.25">
      <c r="A63" t="s">
        <v>162</v>
      </c>
      <c r="B63">
        <v>0</v>
      </c>
      <c r="C63">
        <v>1</v>
      </c>
      <c r="D63">
        <v>2</v>
      </c>
      <c r="E63">
        <v>3</v>
      </c>
      <c r="F63">
        <v>4</v>
      </c>
      <c r="G63">
        <v>5</v>
      </c>
      <c r="H63">
        <v>6</v>
      </c>
      <c r="I63">
        <v>7</v>
      </c>
      <c r="J63">
        <v>8</v>
      </c>
      <c r="K63">
        <v>9</v>
      </c>
      <c r="X63" s="87"/>
      <c r="Y63" s="87"/>
      <c r="Z63" s="87"/>
      <c r="AA63" s="87"/>
      <c r="AB63" s="87"/>
      <c r="AC63" s="87"/>
      <c r="AD63" s="41"/>
      <c r="AE63" s="41"/>
      <c r="AF63" s="41"/>
      <c r="AL63" s="87"/>
      <c r="AM63" s="88"/>
      <c r="AN63" s="88"/>
    </row>
    <row r="64" spans="1:40" ht="28.5" customHeight="1" x14ac:dyDescent="0.25">
      <c r="A64" t="s">
        <v>163</v>
      </c>
      <c r="B64">
        <v>6</v>
      </c>
      <c r="C64">
        <v>7</v>
      </c>
      <c r="D64">
        <v>8</v>
      </c>
      <c r="E64">
        <v>9</v>
      </c>
      <c r="F64">
        <v>10</v>
      </c>
      <c r="G64">
        <v>11</v>
      </c>
      <c r="H64">
        <v>12</v>
      </c>
      <c r="I64">
        <v>13</v>
      </c>
      <c r="J64">
        <v>14</v>
      </c>
      <c r="K64">
        <v>15</v>
      </c>
      <c r="X64" s="87"/>
      <c r="Y64" s="87"/>
      <c r="Z64" s="87"/>
      <c r="AA64" s="87"/>
      <c r="AB64" s="87"/>
      <c r="AC64" s="87"/>
      <c r="AD64" s="41"/>
      <c r="AE64" s="41"/>
      <c r="AF64" s="41"/>
      <c r="AL64" s="87"/>
      <c r="AM64" s="88"/>
      <c r="AN64" s="88"/>
    </row>
    <row r="65" spans="1:40" ht="28.5" customHeight="1" x14ac:dyDescent="0.25">
      <c r="X65" s="87"/>
      <c r="Y65" s="87"/>
      <c r="Z65" s="87"/>
      <c r="AA65" s="87"/>
      <c r="AB65" s="87"/>
      <c r="AC65" s="87"/>
      <c r="AD65" s="41"/>
      <c r="AE65" s="41"/>
      <c r="AF65" s="41"/>
      <c r="AL65" s="87"/>
      <c r="AM65" s="88"/>
      <c r="AN65" s="88"/>
    </row>
    <row r="66" spans="1:40" ht="28.5" customHeight="1" x14ac:dyDescent="0.25">
      <c r="A66" t="s">
        <v>164</v>
      </c>
      <c r="B66" t="e">
        <f>AVERAGE(kainos)</f>
        <v>#DIV/0!</v>
      </c>
      <c r="X66" s="87"/>
      <c r="Y66" s="87"/>
      <c r="Z66" s="87"/>
      <c r="AA66" s="87"/>
      <c r="AB66" s="87"/>
      <c r="AC66" s="87"/>
      <c r="AD66" s="41"/>
      <c r="AE66" s="41"/>
      <c r="AF66" s="41"/>
      <c r="AL66" s="87"/>
      <c r="AM66" s="88"/>
      <c r="AN66" s="88"/>
    </row>
    <row r="67" spans="1:40" ht="28.5" customHeight="1" x14ac:dyDescent="0.25">
      <c r="A67" t="s">
        <v>165</v>
      </c>
      <c r="B67" t="e">
        <f ca="1">AVERAGE(duomenys!F35:O35)</f>
        <v>#DIV/0!</v>
      </c>
      <c r="C67" t="e">
        <f ca="1">IF(OR(ROUND(duomenys!F35,0)&lt;&gt;ROUND(B67,0),B66&gt;1000000000,B66&lt;0),"fail","success")</f>
        <v>#VALUE!</v>
      </c>
      <c r="X67" s="87"/>
      <c r="Y67" s="87"/>
      <c r="Z67" s="87"/>
      <c r="AA67" s="87"/>
      <c r="AB67" s="87"/>
      <c r="AC67" s="87"/>
      <c r="AD67" s="41"/>
      <c r="AE67" s="41"/>
      <c r="AF67" s="41"/>
      <c r="AL67" s="87"/>
      <c r="AM67" s="88"/>
      <c r="AN67" s="88"/>
    </row>
    <row r="68" spans="1:40" ht="28.5" customHeight="1" x14ac:dyDescent="0.25">
      <c r="X68" s="87"/>
      <c r="Y68" s="87"/>
      <c r="Z68" s="87"/>
      <c r="AA68" s="87"/>
      <c r="AB68" s="87"/>
      <c r="AC68" s="87"/>
      <c r="AD68" s="41"/>
      <c r="AE68" s="41"/>
      <c r="AF68" s="41"/>
      <c r="AL68" s="87"/>
      <c r="AM68" s="88"/>
      <c r="AN68" s="88"/>
    </row>
    <row r="69" spans="1:40" ht="28.5" customHeight="1" x14ac:dyDescent="0.25">
      <c r="X69" s="87"/>
      <c r="Y69" s="87"/>
      <c r="Z69" s="87"/>
      <c r="AA69" s="87"/>
      <c r="AB69" s="87"/>
      <c r="AC69" s="87"/>
      <c r="AD69" s="41"/>
      <c r="AE69" s="41"/>
      <c r="AF69" s="41"/>
      <c r="AL69" s="87"/>
    </row>
    <row r="70" spans="1:40" ht="28.5" customHeight="1" x14ac:dyDescent="0.25">
      <c r="X70" s="87"/>
      <c r="Y70" s="87"/>
      <c r="Z70" s="87"/>
      <c r="AA70" s="87"/>
      <c r="AB70" s="87"/>
      <c r="AC70" s="87"/>
      <c r="AD70" s="41"/>
      <c r="AE70" s="41"/>
      <c r="AF70" s="41"/>
      <c r="AL70" s="87"/>
    </row>
    <row r="71" spans="1:40" ht="28.5" customHeight="1" x14ac:dyDescent="0.25">
      <c r="X71" s="87"/>
      <c r="Y71" s="87"/>
      <c r="Z71" s="87"/>
      <c r="AA71" s="87"/>
      <c r="AB71" s="87"/>
      <c r="AC71" s="87"/>
      <c r="AD71" s="41"/>
      <c r="AE71" s="41"/>
      <c r="AF71" s="41"/>
      <c r="AL71" s="87"/>
    </row>
    <row r="72" spans="1:40" ht="28.5" customHeight="1" x14ac:dyDescent="0.25">
      <c r="A72" s="116">
        <f>VLOOKUP(duomenys!$C$11,formules!$A$2:$AP82,42,FALSE)</f>
        <v>0</v>
      </c>
      <c r="X72" s="87"/>
      <c r="Y72" s="87"/>
      <c r="Z72" s="87"/>
      <c r="AA72" s="87"/>
      <c r="AB72" s="87"/>
      <c r="AC72" s="87"/>
      <c r="AD72" s="41"/>
      <c r="AE72" s="41"/>
      <c r="AF72" s="41"/>
      <c r="AL72" s="87"/>
    </row>
    <row r="73" spans="1:40" ht="28.5" customHeight="1" x14ac:dyDescent="0.25">
      <c r="X73" s="87"/>
      <c r="Y73" s="87"/>
      <c r="Z73" s="87"/>
      <c r="AA73" s="87"/>
      <c r="AB73" s="87"/>
      <c r="AC73" s="87"/>
      <c r="AD73" s="41"/>
      <c r="AE73" s="41"/>
      <c r="AF73" s="41"/>
      <c r="AL73" s="87"/>
    </row>
    <row r="74" spans="1:40" ht="28.5" customHeight="1" x14ac:dyDescent="0.25">
      <c r="X74" s="87"/>
      <c r="Y74" s="87"/>
      <c r="Z74" s="87"/>
      <c r="AA74" s="87"/>
      <c r="AB74" s="87"/>
      <c r="AC74" s="87"/>
      <c r="AD74" s="41"/>
      <c r="AE74" s="41"/>
      <c r="AF74" s="41"/>
      <c r="AL74" s="87"/>
    </row>
    <row r="75" spans="1:40" ht="28.5" customHeight="1" x14ac:dyDescent="0.25">
      <c r="X75" s="42"/>
      <c r="Y75" s="42"/>
      <c r="Z75" s="42"/>
      <c r="AA75" s="42"/>
      <c r="AB75" s="42"/>
      <c r="AC75" s="42"/>
      <c r="AD75" s="41"/>
      <c r="AE75" s="41"/>
      <c r="AF75" s="41"/>
      <c r="AL75" s="42"/>
    </row>
    <row r="76" spans="1:40" ht="28.5" customHeight="1" x14ac:dyDescent="0.25">
      <c r="X76" s="42"/>
      <c r="Y76" s="42"/>
      <c r="Z76" s="42"/>
      <c r="AA76" s="42"/>
      <c r="AB76" s="42"/>
      <c r="AC76" s="42"/>
      <c r="AD76" s="41"/>
      <c r="AE76" s="41"/>
      <c r="AF76" s="41"/>
      <c r="AL76" s="42"/>
    </row>
    <row r="77" spans="1:40" ht="28.5" customHeight="1" x14ac:dyDescent="0.25">
      <c r="E77" t="s">
        <v>166</v>
      </c>
      <c r="F77" s="1" t="str">
        <f ca="1">IFERROR(((1-(MAX(Qx)-OFFSET(Qx,0,formules!B$63))*(WQ/WP))*MIN(P))/OFFSET(P,0,formules!B$63),"")</f>
        <v/>
      </c>
      <c r="G77" s="1" t="str">
        <f ca="1">IFERROR(((1-(MAX(Qx)-OFFSET(Qx,0,formules!C$63))*(WQ/WP))*MIN(P))/OFFSET(P,0,formules!C$63),"")</f>
        <v/>
      </c>
      <c r="H77" s="1" t="str">
        <f ca="1">IFERROR(((1-(MAX(Qx)-OFFSET(Qx,0,formules!D$63))*(WQ/WP))*MIN(P))/OFFSET(P,0,formules!D$63),"")</f>
        <v/>
      </c>
      <c r="I77" s="1" t="str">
        <f ca="1">IFERROR(((1-(MAX(Qx)-OFFSET(Qx,0,formules!E$63))*(WQ/WP))*MIN(P))/OFFSET(P,0,formules!E$63),"")</f>
        <v/>
      </c>
      <c r="J77" s="1" t="str">
        <f ca="1">IFERROR(((1-(MAX(Qx)-OFFSET(Qx,0,formules!F$63))*(WQ/WP))*MIN(P))/OFFSET(P,0,formules!F$63),"")</f>
        <v/>
      </c>
      <c r="K77" s="1" t="str">
        <f ca="1">IFERROR(((1-(MAX(Qx)-OFFSET(Qx,0,formules!G$63))*(WQ/WP))*MIN(P))/OFFSET(P,0,formules!G$63),"")</f>
        <v/>
      </c>
      <c r="L77" s="1" t="str">
        <f ca="1">IFERROR(((1-(MAX(Qx)-OFFSET(Qx,0,formules!H$63))*(WQ/WP))*MIN(P))/OFFSET(P,0,formules!H$63),"")</f>
        <v/>
      </c>
      <c r="M77" s="1" t="str">
        <f ca="1">IFERROR(((1-(MAX(Qx)-OFFSET(Qx,0,formules!I$63))*(WQ/WP))*MIN(P))/OFFSET(P,0,formules!I$63),"")</f>
        <v/>
      </c>
      <c r="N77" s="1" t="str">
        <f ca="1">IFERROR(((1-(MAX(Qx)-OFFSET(Qx,0,formules!J$63))*(WQ/WP))*MIN(P))/OFFSET(P,0,formules!J$63),"")</f>
        <v/>
      </c>
      <c r="O77" s="1" t="str">
        <f ca="1">IFERROR(((1-(MAX(Qx)-OFFSET(Qx,0,formules!K$63))*(WQ/WP))*MIN(P))/OFFSET(P,0,formules!K$63),"")</f>
        <v/>
      </c>
      <c r="X77" s="42"/>
      <c r="Y77" s="42"/>
      <c r="Z77" s="42"/>
      <c r="AA77" s="42"/>
      <c r="AB77" s="42"/>
      <c r="AC77" s="42"/>
      <c r="AD77" s="41"/>
      <c r="AE77" s="41"/>
      <c r="AF77" s="41"/>
      <c r="AL77" s="42"/>
    </row>
    <row r="78" spans="1:40" ht="28.5" customHeight="1" x14ac:dyDescent="0.25">
      <c r="E78" t="s">
        <v>167</v>
      </c>
      <c r="F78" s="1" t="e">
        <f ca="1">F77/MAX(ui)*OFFSET(P,0,formules!B$63)</f>
        <v>#VALUE!</v>
      </c>
      <c r="G78" s="1" t="e">
        <f ca="1">G77/MAX(ui)*OFFSET(P,0,formules!C$63)</f>
        <v>#VALUE!</v>
      </c>
      <c r="H78" s="1" t="e">
        <f ca="1">H77/MAX(ui)*OFFSET(P,0,formules!D$63)</f>
        <v>#VALUE!</v>
      </c>
      <c r="I78" s="1" t="e">
        <f ca="1">I77/MAX(ui)*OFFSET(P,0,formules!E$63)</f>
        <v>#VALUE!</v>
      </c>
      <c r="J78" s="1" t="e">
        <f ca="1">J77/MAX(ui)*OFFSET(P,0,formules!F$63)</f>
        <v>#VALUE!</v>
      </c>
      <c r="K78" s="1" t="e">
        <f ca="1">K77/MAX(ui)*OFFSET(P,0,formules!G$63)</f>
        <v>#VALUE!</v>
      </c>
      <c r="L78" s="1" t="e">
        <f ca="1">L77/MAX(ui)*OFFSET(P,0,formules!H$63)</f>
        <v>#VALUE!</v>
      </c>
      <c r="M78" s="1" t="e">
        <f ca="1">M77/MAX(ui)*OFFSET(P,0,formules!I$63)</f>
        <v>#VALUE!</v>
      </c>
      <c r="N78" s="1" t="e">
        <f ca="1">N77/MAX(ui)*OFFSET(P,0,formules!J$63)</f>
        <v>#VALUE!</v>
      </c>
      <c r="O78" s="1" t="e">
        <f ca="1">O77/MAX(ui)*OFFSET(P,0,formules!K$63)</f>
        <v>#VALUE!</v>
      </c>
      <c r="X78" s="42"/>
      <c r="Y78" s="42"/>
      <c r="Z78" s="42"/>
      <c r="AA78" s="42"/>
      <c r="AB78" s="42"/>
      <c r="AC78" s="42"/>
      <c r="AD78" s="41"/>
      <c r="AE78" s="41"/>
      <c r="AF78" s="41"/>
      <c r="AL78" s="42"/>
    </row>
    <row r="79" spans="1:40" ht="28.5" customHeight="1" x14ac:dyDescent="0.25">
      <c r="E79" t="s">
        <v>168</v>
      </c>
      <c r="F79" s="1" t="e">
        <f ca="1">OFFSET(P,0,formules!B$63)-F78</f>
        <v>#VALUE!</v>
      </c>
      <c r="G79" s="1" t="e">
        <f ca="1">OFFSET(P,0,formules!C$63)-G78</f>
        <v>#VALUE!</v>
      </c>
      <c r="H79" s="1" t="e">
        <f ca="1">OFFSET(P,0,formules!D$63)-H78</f>
        <v>#VALUE!</v>
      </c>
      <c r="I79" s="1" t="e">
        <f ca="1">OFFSET(P,0,formules!E$63)-I78</f>
        <v>#VALUE!</v>
      </c>
      <c r="J79" s="1" t="e">
        <f ca="1">OFFSET(P,0,formules!F$63)-J78</f>
        <v>#VALUE!</v>
      </c>
      <c r="K79" s="1" t="e">
        <f ca="1">OFFSET(P,0,formules!G$63)-K78</f>
        <v>#VALUE!</v>
      </c>
      <c r="L79" s="1" t="e">
        <f ca="1">OFFSET(P,0,formules!H$63)-L78</f>
        <v>#VALUE!</v>
      </c>
      <c r="M79" s="1" t="e">
        <f ca="1">OFFSET(P,0,formules!I$63)-M78</f>
        <v>#VALUE!</v>
      </c>
      <c r="N79" s="1" t="e">
        <f ca="1">OFFSET(P,0,formules!J$63)-N78</f>
        <v>#VALUE!</v>
      </c>
      <c r="O79" s="1" t="e">
        <f ca="1">OFFSET(P,0,formules!K$63)-O78</f>
        <v>#VALUE!</v>
      </c>
      <c r="X79" s="42"/>
      <c r="Y79" s="42"/>
      <c r="Z79" s="42"/>
      <c r="AA79" s="42"/>
      <c r="AB79" s="42"/>
      <c r="AC79" s="42"/>
      <c r="AD79" s="41"/>
      <c r="AE79" s="41"/>
      <c r="AF79" s="41"/>
      <c r="AL79" s="42"/>
    </row>
    <row r="80" spans="1:40" ht="28.5" customHeight="1" x14ac:dyDescent="0.25">
      <c r="E80" t="s">
        <v>169</v>
      </c>
      <c r="F80" t="e">
        <f ca="1">OFFSET(P,0,formules!B$63)*((MAX(ui)-F77)/MAX(ui))</f>
        <v>#VALUE!</v>
      </c>
      <c r="G80" t="e">
        <f ca="1">OFFSET(P,0,formules!C$63)*((MAX(ui)-G77)/MAX(ui))</f>
        <v>#VALUE!</v>
      </c>
      <c r="H80" t="e">
        <f ca="1">OFFSET(P,0,formules!D$63)*((MAX(ui)-H77)/MAX(ui))</f>
        <v>#VALUE!</v>
      </c>
      <c r="I80" t="e">
        <f ca="1">OFFSET(P,0,formules!E$63)*((MAX(ui)-I77)/MAX(ui))</f>
        <v>#VALUE!</v>
      </c>
      <c r="J80" t="e">
        <f ca="1">OFFSET(P,0,formules!F$63)*((MAX(ui)-J77)/MAX(ui))</f>
        <v>#VALUE!</v>
      </c>
      <c r="K80" t="e">
        <f ca="1">OFFSET(P,0,formules!G$63)*((MAX(ui)-K77)/MAX(ui))</f>
        <v>#VALUE!</v>
      </c>
      <c r="L80" t="e">
        <f ca="1">OFFSET(P,0,formules!H$63)*((MAX(ui)-L77)/MAX(ui))</f>
        <v>#VALUE!</v>
      </c>
      <c r="M80" t="e">
        <f ca="1">OFFSET(P,0,formules!I$63)*((MAX(ui)-M77)/MAX(ui))</f>
        <v>#VALUE!</v>
      </c>
      <c r="N80" t="e">
        <f ca="1">OFFSET(P,0,formules!J$63)*((MAX(ui)-N77)/MAX(ui))</f>
        <v>#VALUE!</v>
      </c>
      <c r="O80" t="e">
        <f ca="1">OFFSET(P,0,formules!K$63)*((MAX(ui)-O77)/MAX(ui))</f>
        <v>#VALUE!</v>
      </c>
      <c r="X80" s="42"/>
      <c r="Y80" s="42"/>
      <c r="Z80" s="42"/>
      <c r="AA80" s="42"/>
      <c r="AB80" s="42"/>
      <c r="AC80" s="42"/>
      <c r="AD80" s="41"/>
      <c r="AE80" s="41"/>
      <c r="AF80" s="41"/>
      <c r="AL80" s="42"/>
    </row>
    <row r="81" spans="24:38" ht="28.5" customHeight="1" x14ac:dyDescent="0.25">
      <c r="X81" s="42"/>
      <c r="Y81" s="42"/>
      <c r="Z81" s="42"/>
      <c r="AA81" s="42"/>
      <c r="AB81" s="42"/>
      <c r="AC81" s="42"/>
      <c r="AD81" s="41"/>
      <c r="AE81" s="41"/>
      <c r="AF81" s="41"/>
      <c r="AL81" s="42"/>
    </row>
    <row r="82" spans="24:38" ht="28.5" customHeight="1" x14ac:dyDescent="0.25">
      <c r="X82" s="42"/>
      <c r="Y82" s="42"/>
      <c r="Z82" s="42"/>
      <c r="AA82" s="42"/>
      <c r="AB82" s="42"/>
      <c r="AC82" s="42"/>
      <c r="AD82" s="41"/>
      <c r="AE82" s="41"/>
      <c r="AF82" s="41"/>
      <c r="AL82" s="42"/>
    </row>
    <row r="83" spans="24:38" ht="28.5" customHeight="1" x14ac:dyDescent="0.25">
      <c r="X83" s="42"/>
      <c r="Y83" s="42"/>
      <c r="Z83" s="42"/>
      <c r="AA83" s="42"/>
      <c r="AB83" s="42"/>
      <c r="AC83" s="42"/>
      <c r="AD83" s="41"/>
      <c r="AE83" s="41"/>
      <c r="AF83" s="41"/>
      <c r="AL83" s="42"/>
    </row>
    <row r="84" spans="24:38" ht="28.5" customHeight="1" x14ac:dyDescent="0.25">
      <c r="X84" s="42"/>
      <c r="Y84" s="42"/>
      <c r="Z84" s="42"/>
      <c r="AA84" s="42"/>
      <c r="AB84" s="42"/>
      <c r="AC84" s="42"/>
      <c r="AD84" s="41"/>
      <c r="AE84" s="41"/>
      <c r="AF84" s="41"/>
      <c r="AL84" s="42"/>
    </row>
    <row r="85" spans="24:38" ht="28.5" customHeight="1" x14ac:dyDescent="0.25">
      <c r="X85" s="42"/>
      <c r="Y85" s="42"/>
      <c r="Z85" s="42"/>
      <c r="AA85" s="42"/>
      <c r="AB85" s="42"/>
      <c r="AC85" s="42"/>
      <c r="AD85" s="41"/>
      <c r="AE85" s="41"/>
      <c r="AF85" s="41"/>
      <c r="AL85" s="42"/>
    </row>
    <row r="86" spans="24:38" ht="28.5" customHeight="1" x14ac:dyDescent="0.25">
      <c r="X86" s="42"/>
      <c r="Y86" s="42"/>
      <c r="Z86" s="42"/>
      <c r="AA86" s="42"/>
      <c r="AB86" s="42"/>
      <c r="AC86" s="42"/>
      <c r="AD86" s="41"/>
      <c r="AE86" s="41"/>
      <c r="AF86" s="41"/>
      <c r="AL86" s="42"/>
    </row>
    <row r="87" spans="24:38" ht="28.5" customHeight="1" x14ac:dyDescent="0.25">
      <c r="AD87" s="41"/>
      <c r="AE87" s="41"/>
      <c r="AF87" s="41"/>
      <c r="AL87" s="42"/>
    </row>
    <row r="88" spans="24:38" ht="28.5" customHeight="1" x14ac:dyDescent="0.25">
      <c r="AD88" s="41"/>
      <c r="AE88" s="41"/>
      <c r="AF88" s="41"/>
      <c r="AL88" s="42"/>
    </row>
    <row r="89" spans="24:38" x14ac:dyDescent="0.25">
      <c r="AD89" s="41"/>
      <c r="AE89" s="41"/>
      <c r="AF89" s="41"/>
      <c r="AL89" s="42"/>
    </row>
    <row r="90" spans="24:38" x14ac:dyDescent="0.25">
      <c r="AD90" s="41"/>
      <c r="AE90" s="41"/>
      <c r="AF90" s="41"/>
      <c r="AL90" s="42"/>
    </row>
    <row r="91" spans="24:38" x14ac:dyDescent="0.25">
      <c r="AD91" s="41"/>
      <c r="AE91" s="41"/>
      <c r="AF91" s="41"/>
      <c r="AL91" s="42"/>
    </row>
    <row r="92" spans="24:38" x14ac:dyDescent="0.25">
      <c r="AD92" s="41"/>
      <c r="AE92" s="41"/>
      <c r="AF92" s="41"/>
      <c r="AL92" s="42"/>
    </row>
    <row r="93" spans="24:38" x14ac:dyDescent="0.25">
      <c r="AD93" s="41"/>
      <c r="AE93" s="41"/>
      <c r="AF93" s="41"/>
      <c r="AL93" s="42"/>
    </row>
    <row r="94" spans="24:38" x14ac:dyDescent="0.25">
      <c r="AD94" s="41"/>
      <c r="AE94" s="41"/>
      <c r="AF94" s="41"/>
      <c r="AL94" s="42"/>
    </row>
    <row r="95" spans="24:38" x14ac:dyDescent="0.25">
      <c r="AD95" s="41"/>
      <c r="AE95" s="41"/>
      <c r="AF95" s="41"/>
      <c r="AL95" s="42"/>
    </row>
    <row r="96" spans="24:38" x14ac:dyDescent="0.25">
      <c r="AD96" s="41"/>
      <c r="AE96" s="41"/>
      <c r="AF96" s="41"/>
      <c r="AL96" s="42"/>
    </row>
    <row r="97" spans="1:38" x14ac:dyDescent="0.25">
      <c r="AD97" s="41"/>
      <c r="AE97" s="41"/>
      <c r="AF97" s="41"/>
      <c r="AL97" s="42"/>
    </row>
    <row r="98" spans="1:38" x14ac:dyDescent="0.25">
      <c r="AD98" s="41"/>
      <c r="AE98" s="41"/>
      <c r="AF98" s="41"/>
      <c r="AL98" s="42"/>
    </row>
    <row r="99" spans="1:38" x14ac:dyDescent="0.25">
      <c r="AD99" s="41"/>
      <c r="AE99" s="41"/>
      <c r="AF99" s="41"/>
      <c r="AL99" s="42"/>
    </row>
    <row r="100" spans="1:38" x14ac:dyDescent="0.25">
      <c r="AD100" s="41"/>
      <c r="AE100" s="41"/>
      <c r="AF100" s="41"/>
      <c r="AL100" s="42"/>
    </row>
    <row r="101" spans="1:38" x14ac:dyDescent="0.25">
      <c r="AD101" s="41"/>
      <c r="AE101" s="41"/>
      <c r="AF101" s="41"/>
      <c r="AL101" s="42"/>
    </row>
    <row r="102" spans="1:38" x14ac:dyDescent="0.25">
      <c r="A102" s="62" t="s">
        <v>170</v>
      </c>
      <c r="B102" s="92">
        <f>+duomenys!F11</f>
        <v>0</v>
      </c>
      <c r="C102" s="92">
        <f>+duomenys!G11</f>
        <v>0</v>
      </c>
      <c r="D102" s="92">
        <f>+duomenys!H11</f>
        <v>0</v>
      </c>
      <c r="E102" s="92">
        <f>+duomenys!I11</f>
        <v>0</v>
      </c>
      <c r="F102" s="92">
        <f>+duomenys!J11</f>
        <v>0</v>
      </c>
      <c r="G102" s="92">
        <f>+duomenys!K11</f>
        <v>0</v>
      </c>
      <c r="H102" s="92">
        <f>+duomenys!L11</f>
        <v>0</v>
      </c>
      <c r="I102" s="92">
        <f>+duomenys!M11</f>
        <v>0</v>
      </c>
      <c r="J102" s="92">
        <f>+duomenys!N11</f>
        <v>0</v>
      </c>
      <c r="K102" s="92">
        <f>+duomenys!O11</f>
        <v>0</v>
      </c>
      <c r="AD102" s="41"/>
      <c r="AE102" s="41"/>
      <c r="AF102" s="41"/>
      <c r="AL102" s="42"/>
    </row>
    <row r="103" spans="1:38" x14ac:dyDescent="0.25">
      <c r="A103" s="62" t="s">
        <v>170</v>
      </c>
      <c r="B103" s="64">
        <v>10</v>
      </c>
      <c r="C103" s="1">
        <v>20</v>
      </c>
      <c r="D103" s="1">
        <v>30</v>
      </c>
      <c r="E103" s="1">
        <v>40</v>
      </c>
      <c r="F103" s="1">
        <v>50</v>
      </c>
      <c r="G103" s="1">
        <v>60</v>
      </c>
      <c r="H103" s="1">
        <v>70</v>
      </c>
      <c r="I103" s="1">
        <v>80</v>
      </c>
      <c r="J103" s="1">
        <v>90</v>
      </c>
      <c r="K103" s="1">
        <v>100</v>
      </c>
      <c r="AD103" s="41"/>
      <c r="AE103" s="41"/>
      <c r="AF103" s="41"/>
      <c r="AL103" s="42"/>
    </row>
    <row r="104" spans="1:38" x14ac:dyDescent="0.25">
      <c r="AD104" s="41"/>
      <c r="AE104" s="41"/>
      <c r="AF104" s="41"/>
      <c r="AL104" s="42"/>
    </row>
    <row r="105" spans="1:38" x14ac:dyDescent="0.25">
      <c r="AD105" s="41"/>
      <c r="AE105" s="41"/>
      <c r="AF105" s="41"/>
      <c r="AL105" s="42"/>
    </row>
    <row r="106" spans="1:38" x14ac:dyDescent="0.25">
      <c r="AD106" s="41"/>
      <c r="AE106" s="41"/>
      <c r="AF106" s="41"/>
      <c r="AL106" s="42"/>
    </row>
    <row r="107" spans="1:38" x14ac:dyDescent="0.25">
      <c r="AD107" s="41"/>
      <c r="AE107" s="41"/>
      <c r="AF107" s="41"/>
      <c r="AL107" s="42"/>
    </row>
    <row r="108" spans="1:38" x14ac:dyDescent="0.25">
      <c r="AD108" s="41"/>
      <c r="AE108" s="41"/>
      <c r="AF108" s="41"/>
      <c r="AL108" s="42"/>
    </row>
    <row r="109" spans="1:38" x14ac:dyDescent="0.25">
      <c r="AD109" s="41"/>
      <c r="AE109" s="41"/>
      <c r="AF109" s="41"/>
      <c r="AL109" s="42"/>
    </row>
    <row r="110" spans="1:38" x14ac:dyDescent="0.25">
      <c r="AD110" s="41"/>
      <c r="AE110" s="41"/>
      <c r="AF110" s="41"/>
      <c r="AL110" s="42"/>
    </row>
    <row r="111" spans="1:38" x14ac:dyDescent="0.25">
      <c r="AD111" s="41"/>
      <c r="AE111" s="41"/>
      <c r="AF111" s="41"/>
      <c r="AL111" s="42"/>
    </row>
    <row r="112" spans="1:38" x14ac:dyDescent="0.25">
      <c r="AD112" s="41"/>
      <c r="AE112" s="41"/>
      <c r="AF112" s="41"/>
      <c r="AL112" s="42"/>
    </row>
    <row r="113" spans="30:38" x14ac:dyDescent="0.25">
      <c r="AD113" s="41"/>
      <c r="AE113" s="41"/>
      <c r="AF113" s="41"/>
      <c r="AL113" s="42"/>
    </row>
    <row r="114" spans="30:38" x14ac:dyDescent="0.25">
      <c r="AD114" s="41"/>
      <c r="AE114" s="41"/>
      <c r="AF114" s="41"/>
      <c r="AL114" s="42"/>
    </row>
  </sheetData>
  <sortState xmlns:xlrd2="http://schemas.microsoft.com/office/spreadsheetml/2017/richdata2" ref="A2:AT18">
    <sortCondition ref="D2:D18"/>
  </sortState>
  <mergeCells count="6">
    <mergeCell ref="D55:E55"/>
    <mergeCell ref="A1:P1"/>
    <mergeCell ref="A52:B52"/>
    <mergeCell ref="D52:E52"/>
    <mergeCell ref="D53:E53"/>
    <mergeCell ref="D54:E54"/>
  </mergeCells>
  <conditionalFormatting sqref="A72">
    <cfRule type="cellIs" dxfId="2" priority="1" operator="equal">
      <formula>100</formula>
    </cfRule>
  </conditionalFormatting>
  <conditionalFormatting sqref="F2:O43 Q6:Q7 Q10:Q11 Q18:Q23 Q25">
    <cfRule type="expression" dxfId="1" priority="2">
      <formula>AND($AD2&lt;&gt;1,F2=MAX($F2:$O2))</formula>
    </cfRule>
    <cfRule type="expression" dxfId="0" priority="3">
      <formula>AND($AD2=1,F2=MIN($F2:$O2))</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D2F20-AE0E-44E7-A760-25CDD2821991}">
  <sheetPr codeName="Sheet12"/>
  <dimension ref="A1:Z67"/>
  <sheetViews>
    <sheetView showGridLines="0" topLeftCell="P7" zoomScale="85" zoomScaleNormal="85" workbookViewId="0">
      <selection activeCell="Q12" sqref="Q12:Z21"/>
    </sheetView>
  </sheetViews>
  <sheetFormatPr defaultRowHeight="15" x14ac:dyDescent="0.25"/>
  <cols>
    <col min="1" max="1" width="11.5703125" hidden="1" customWidth="1"/>
    <col min="2" max="15" width="0" hidden="1" customWidth="1"/>
    <col min="16" max="16" width="10.28515625" customWidth="1"/>
    <col min="17" max="25" width="9.28515625" bestFit="1" customWidth="1"/>
    <col min="26" max="26" width="10.140625" bestFit="1" customWidth="1"/>
  </cols>
  <sheetData>
    <row r="1" spans="2:26" hidden="1" x14ac:dyDescent="0.25">
      <c r="B1" s="23"/>
      <c r="C1" s="23"/>
      <c r="D1" s="23"/>
      <c r="E1" s="23"/>
      <c r="F1" s="23"/>
      <c r="G1" s="23"/>
      <c r="H1" s="23"/>
      <c r="I1" s="23"/>
      <c r="J1" s="23"/>
      <c r="K1" s="23"/>
    </row>
    <row r="2" spans="2:26" hidden="1" x14ac:dyDescent="0.25">
      <c r="B2" s="24"/>
      <c r="C2" s="24"/>
      <c r="D2" s="24"/>
      <c r="E2" s="24"/>
      <c r="F2" s="24"/>
      <c r="G2" s="24"/>
      <c r="H2" s="24"/>
      <c r="I2" s="24"/>
      <c r="J2" s="24"/>
      <c r="K2" s="24"/>
    </row>
    <row r="3" spans="2:26" hidden="1" x14ac:dyDescent="0.25">
      <c r="B3" s="24"/>
      <c r="C3" s="24"/>
      <c r="D3" s="24"/>
      <c r="E3" s="24"/>
      <c r="F3" s="24"/>
      <c r="G3" s="24"/>
      <c r="H3" s="24"/>
      <c r="I3" s="24"/>
      <c r="J3" s="24"/>
      <c r="K3" s="24"/>
    </row>
    <row r="4" spans="2:26" hidden="1" x14ac:dyDescent="0.25">
      <c r="B4" s="25"/>
      <c r="C4" s="25"/>
      <c r="D4" s="25"/>
      <c r="E4" s="25"/>
      <c r="F4" s="25"/>
      <c r="G4" s="25"/>
      <c r="H4" s="25"/>
      <c r="I4" s="25"/>
      <c r="J4" s="25"/>
      <c r="K4" s="25"/>
    </row>
    <row r="5" spans="2:26" hidden="1" x14ac:dyDescent="0.25">
      <c r="B5" s="25"/>
      <c r="C5" s="25"/>
      <c r="D5" s="25"/>
      <c r="E5" s="25"/>
      <c r="F5" s="25"/>
      <c r="G5" s="25"/>
      <c r="H5" s="25"/>
      <c r="I5" s="25"/>
      <c r="J5" s="25"/>
      <c r="K5" s="25"/>
    </row>
    <row r="6" spans="2:26" hidden="1" x14ac:dyDescent="0.25">
      <c r="B6" s="25"/>
      <c r="C6" s="25"/>
      <c r="D6" s="25"/>
      <c r="E6" s="25"/>
      <c r="F6" s="25"/>
      <c r="G6" s="25"/>
      <c r="H6" s="25"/>
      <c r="I6" s="25"/>
      <c r="J6" s="25"/>
      <c r="K6" s="25"/>
    </row>
    <row r="7" spans="2:26" ht="8.25" customHeight="1" x14ac:dyDescent="0.25">
      <c r="B7" s="26"/>
      <c r="C7" s="26"/>
      <c r="D7" s="26"/>
      <c r="E7" s="26"/>
      <c r="F7" s="26"/>
      <c r="G7" s="26"/>
      <c r="H7" s="26"/>
      <c r="I7" s="26"/>
      <c r="J7" s="26"/>
      <c r="K7" s="26"/>
    </row>
    <row r="8" spans="2:26" ht="8.25" customHeight="1" x14ac:dyDescent="0.25"/>
    <row r="9" spans="2:26" x14ac:dyDescent="0.25">
      <c r="P9" s="29" t="s">
        <v>171</v>
      </c>
      <c r="Q9" s="151" t="e">
        <f>ROUND(duomenys!F40,2)</f>
        <v>#VALUE!</v>
      </c>
      <c r="R9" s="151" t="e">
        <f>ROUND(duomenys!G40,2)</f>
        <v>#VALUE!</v>
      </c>
      <c r="S9" s="151" t="e">
        <f>ROUND(duomenys!H40,2)</f>
        <v>#VALUE!</v>
      </c>
      <c r="T9" s="151" t="e">
        <f>ROUND(duomenys!I40,2)</f>
        <v>#VALUE!</v>
      </c>
      <c r="U9" s="151" t="e">
        <f>ROUND(duomenys!J40,2)</f>
        <v>#VALUE!</v>
      </c>
      <c r="V9" s="151" t="e">
        <f>ROUND(duomenys!K40,2)</f>
        <v>#VALUE!</v>
      </c>
      <c r="W9" s="151" t="e">
        <f>ROUND(duomenys!L40,2)</f>
        <v>#VALUE!</v>
      </c>
      <c r="X9" s="151" t="e">
        <f>ROUND(duomenys!M40,2)</f>
        <v>#VALUE!</v>
      </c>
      <c r="Y9" s="151" t="e">
        <f>ROUND(duomenys!N40,2)</f>
        <v>#VALUE!</v>
      </c>
      <c r="Z9" s="151" t="e">
        <f>ROUND(duomenys!O40,2)</f>
        <v>#VALUE!</v>
      </c>
    </row>
    <row r="10" spans="2:26" x14ac:dyDescent="0.25">
      <c r="D10" s="26"/>
      <c r="E10" s="26"/>
      <c r="F10" s="26"/>
      <c r="G10" s="26"/>
      <c r="H10" s="26"/>
      <c r="I10" s="26"/>
      <c r="J10" s="26"/>
      <c r="K10" s="26"/>
      <c r="L10" s="26"/>
      <c r="M10" s="26"/>
      <c r="P10" s="29" t="s">
        <v>31</v>
      </c>
      <c r="Q10" s="152">
        <f>ROUND(duomenys!F11,2)</f>
        <v>0</v>
      </c>
      <c r="R10" s="152">
        <f>ROUND(duomenys!G11,2)</f>
        <v>0</v>
      </c>
      <c r="S10" s="152">
        <f>ROUND(duomenys!H11,2)</f>
        <v>0</v>
      </c>
      <c r="T10" s="152">
        <f>ROUND(duomenys!I11,2)</f>
        <v>0</v>
      </c>
      <c r="U10" s="152">
        <f>ROUND(duomenys!J11,2)</f>
        <v>0</v>
      </c>
      <c r="V10" s="152">
        <f>ROUND(duomenys!K11,2)</f>
        <v>0</v>
      </c>
      <c r="W10" s="152">
        <f>ROUND(duomenys!L11,2)</f>
        <v>0</v>
      </c>
      <c r="X10" s="152">
        <f>ROUND(duomenys!M11,2)</f>
        <v>0</v>
      </c>
      <c r="Y10" s="152">
        <f>ROUND(duomenys!N11,2)</f>
        <v>0</v>
      </c>
      <c r="Z10" s="152">
        <f>ROUND(duomenys!O11,2)</f>
        <v>0</v>
      </c>
    </row>
    <row r="11" spans="2:26" x14ac:dyDescent="0.25">
      <c r="P11" s="30"/>
      <c r="Q11" s="30"/>
      <c r="R11" s="30"/>
      <c r="S11" s="30"/>
      <c r="T11" s="30"/>
      <c r="U11" s="30"/>
      <c r="V11" s="30"/>
      <c r="W11" s="30"/>
      <c r="X11" s="30"/>
      <c r="Y11" s="30"/>
      <c r="Z11" s="30"/>
    </row>
    <row r="12" spans="2:26" x14ac:dyDescent="0.25">
      <c r="P12" s="31" t="s">
        <v>171</v>
      </c>
      <c r="Q12" s="37"/>
      <c r="R12" s="37"/>
      <c r="S12" s="37"/>
      <c r="T12" s="37"/>
      <c r="U12" s="37"/>
      <c r="V12" s="37"/>
      <c r="W12" s="37"/>
      <c r="X12" s="37"/>
      <c r="Y12" s="37"/>
      <c r="Z12" s="37"/>
    </row>
    <row r="13" spans="2:26" x14ac:dyDescent="0.25">
      <c r="P13" s="31" t="s">
        <v>172</v>
      </c>
      <c r="Q13" s="38"/>
      <c r="R13" s="38"/>
      <c r="S13" s="38"/>
      <c r="T13" s="38"/>
      <c r="U13" s="38"/>
      <c r="V13" s="38"/>
      <c r="W13" s="38"/>
      <c r="X13" s="38"/>
      <c r="Y13" s="38"/>
      <c r="Z13" s="38"/>
    </row>
    <row r="14" spans="2:26" x14ac:dyDescent="0.25">
      <c r="P14" s="32" t="s">
        <v>171</v>
      </c>
      <c r="Q14" s="39"/>
      <c r="R14" s="39"/>
      <c r="S14" s="39"/>
      <c r="T14" s="39"/>
      <c r="U14" s="39"/>
      <c r="V14" s="39"/>
      <c r="W14" s="39"/>
      <c r="X14" s="39"/>
      <c r="Y14" s="39"/>
      <c r="Z14" s="39"/>
    </row>
    <row r="15" spans="2:26" x14ac:dyDescent="0.25">
      <c r="P15" s="32" t="s">
        <v>173</v>
      </c>
      <c r="Q15" s="38"/>
      <c r="R15" s="38"/>
      <c r="S15" s="38"/>
      <c r="T15" s="38"/>
      <c r="U15" s="38"/>
      <c r="V15" s="38"/>
      <c r="W15" s="38"/>
      <c r="X15" s="38"/>
      <c r="Y15" s="38"/>
      <c r="Z15" s="38"/>
    </row>
    <row r="16" spans="2:26" x14ac:dyDescent="0.25">
      <c r="P16" s="33" t="s">
        <v>171</v>
      </c>
      <c r="Q16" s="39"/>
      <c r="R16" s="39"/>
      <c r="S16" s="39"/>
      <c r="T16" s="39"/>
      <c r="U16" s="39"/>
      <c r="V16" s="39"/>
      <c r="W16" s="39"/>
      <c r="X16" s="39"/>
      <c r="Y16" s="39"/>
      <c r="Z16" s="39"/>
    </row>
    <row r="17" spans="16:26" x14ac:dyDescent="0.25">
      <c r="P17" s="33" t="s">
        <v>174</v>
      </c>
      <c r="Q17" s="38"/>
      <c r="R17" s="38"/>
      <c r="S17" s="38"/>
      <c r="T17" s="38"/>
      <c r="U17" s="38"/>
      <c r="V17" s="38"/>
      <c r="W17" s="38"/>
      <c r="X17" s="38"/>
      <c r="Y17" s="38"/>
      <c r="Z17" s="38"/>
    </row>
    <row r="18" spans="16:26" x14ac:dyDescent="0.25">
      <c r="P18" s="34" t="s">
        <v>171</v>
      </c>
      <c r="Q18" s="39"/>
      <c r="R18" s="39"/>
      <c r="S18" s="39"/>
      <c r="T18" s="39"/>
      <c r="U18" s="39"/>
      <c r="V18" s="39"/>
      <c r="W18" s="39"/>
      <c r="X18" s="39"/>
      <c r="Y18" s="39"/>
      <c r="Z18" s="39"/>
    </row>
    <row r="19" spans="16:26" x14ac:dyDescent="0.25">
      <c r="P19" s="34" t="s">
        <v>175</v>
      </c>
      <c r="Q19" s="37"/>
      <c r="R19" s="37"/>
      <c r="S19" s="37"/>
      <c r="T19" s="37"/>
      <c r="U19" s="37"/>
      <c r="V19" s="37"/>
      <c r="W19" s="37"/>
      <c r="X19" s="37"/>
      <c r="Y19" s="37"/>
      <c r="Z19" s="37"/>
    </row>
    <row r="20" spans="16:26" x14ac:dyDescent="0.25">
      <c r="P20" s="35" t="s">
        <v>171</v>
      </c>
      <c r="Q20" s="39"/>
      <c r="R20" s="39"/>
      <c r="S20" s="39"/>
      <c r="T20" s="38"/>
      <c r="U20" s="38"/>
      <c r="V20" s="38"/>
      <c r="W20" s="38"/>
      <c r="X20" s="38"/>
      <c r="Y20" s="38"/>
      <c r="Z20" s="38"/>
    </row>
    <row r="21" spans="16:26" x14ac:dyDescent="0.25">
      <c r="P21" s="35" t="s">
        <v>176</v>
      </c>
      <c r="Q21" s="37"/>
      <c r="R21" s="37"/>
      <c r="S21" s="37"/>
      <c r="T21" s="38"/>
      <c r="U21" s="38"/>
      <c r="V21" s="38"/>
      <c r="W21" s="38"/>
      <c r="X21" s="38"/>
      <c r="Y21" s="38"/>
      <c r="Z21" s="38"/>
    </row>
    <row r="22" spans="16:26" ht="409.5" customHeight="1" x14ac:dyDescent="0.25"/>
    <row r="48" spans="16:25" x14ac:dyDescent="0.25">
      <c r="P48" s="22">
        <f>+Q21+0.15</f>
        <v>0.15</v>
      </c>
      <c r="Q48" s="22">
        <f t="shared" ref="Q48:Y48" si="0">+R21+0.15</f>
        <v>0.15</v>
      </c>
      <c r="R48" s="22">
        <f t="shared" si="0"/>
        <v>0.15</v>
      </c>
      <c r="S48" s="22">
        <f t="shared" si="0"/>
        <v>0.15</v>
      </c>
      <c r="T48" s="22">
        <f t="shared" si="0"/>
        <v>0.15</v>
      </c>
      <c r="U48" s="22">
        <f t="shared" si="0"/>
        <v>0.15</v>
      </c>
      <c r="V48" s="22">
        <f t="shared" si="0"/>
        <v>0.15</v>
      </c>
      <c r="W48" s="22">
        <f t="shared" si="0"/>
        <v>0.15</v>
      </c>
      <c r="X48" s="22">
        <f t="shared" si="0"/>
        <v>0.15</v>
      </c>
      <c r="Y48" s="22">
        <f t="shared" si="0"/>
        <v>0.15</v>
      </c>
    </row>
    <row r="50" spans="6:19" x14ac:dyDescent="0.25">
      <c r="N50" s="3">
        <v>1</v>
      </c>
      <c r="O50">
        <v>1</v>
      </c>
      <c r="Q50">
        <v>1</v>
      </c>
    </row>
    <row r="51" spans="6:19" x14ac:dyDescent="0.25">
      <c r="O51">
        <v>2</v>
      </c>
      <c r="Q51">
        <v>2</v>
      </c>
    </row>
    <row r="52" spans="6:19" x14ac:dyDescent="0.25">
      <c r="O52">
        <f>+(O50/O51)</f>
        <v>0.5</v>
      </c>
      <c r="Q52">
        <f>+(Q50/Q51)</f>
        <v>0.5</v>
      </c>
    </row>
    <row r="53" spans="6:19" x14ac:dyDescent="0.25">
      <c r="O53">
        <f>+POWER(O52,N50)</f>
        <v>0.5</v>
      </c>
      <c r="P53" t="s">
        <v>73</v>
      </c>
      <c r="Q53">
        <f>+POWER(Q52,N50)</f>
        <v>0.5</v>
      </c>
      <c r="R53" s="4" t="s">
        <v>177</v>
      </c>
      <c r="S53">
        <f>+O53+Q53</f>
        <v>1</v>
      </c>
    </row>
    <row r="59" spans="6:19" ht="15.75" x14ac:dyDescent="0.25">
      <c r="F59" s="27"/>
    </row>
    <row r="60" spans="6:19" ht="15.75" x14ac:dyDescent="0.25">
      <c r="F60" s="27"/>
    </row>
    <row r="61" spans="6:19" ht="15.75" x14ac:dyDescent="0.25">
      <c r="F61" s="27"/>
    </row>
    <row r="62" spans="6:19" ht="15.75" x14ac:dyDescent="0.25">
      <c r="F62" s="28"/>
    </row>
    <row r="63" spans="6:19" ht="15.75" x14ac:dyDescent="0.25">
      <c r="F63" s="27"/>
    </row>
    <row r="64" spans="6:19" ht="15.75" x14ac:dyDescent="0.25">
      <c r="F64" s="27"/>
    </row>
    <row r="65" spans="6:6" ht="15.75" x14ac:dyDescent="0.25">
      <c r="F65" s="27"/>
    </row>
    <row r="66" spans="6:6" ht="15.75" x14ac:dyDescent="0.25">
      <c r="F66" s="27"/>
    </row>
    <row r="67" spans="6:6" ht="15.75" x14ac:dyDescent="0.25">
      <c r="F67" s="27"/>
    </row>
  </sheetData>
  <sortState xmlns:xlrd2="http://schemas.microsoft.com/office/spreadsheetml/2017/richdata2" columnSort="1" ref="Q12:Z13">
    <sortCondition ref="Q12:Z12"/>
  </sortState>
  <dataValidations count="2">
    <dataValidation type="decimal" errorStyle="information" allowBlank="1" showInputMessage="1" showErrorMessage="1" errorTitle="Tik skaičiai" error="Šiuose laukeliuose galima rašyti tik skaičius." sqref="Q21:S21 Q19:Z19" xr:uid="{E1EAFA15-9F3E-4C36-B66D-9C8881F6C2ED}">
      <formula1>-1000000000</formula1>
      <formula2>1000000000</formula2>
    </dataValidation>
    <dataValidation type="decimal" errorStyle="information" allowBlank="1" showInputMessage="1" showErrorMessage="1" errorTitle="Tik skaičiai" error="Šiuose laukeliuose galima rašyti tik skaičius." sqref="B7:K7 Q12:Z12 B1:K3 D10:M10" xr:uid="{2283BEFD-5751-407A-AFF2-B42A76E5A538}">
      <formula1>-100000000</formula1>
      <formula2>1000000000</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34B8A-A373-4643-911E-529CC18706D7}">
  <sheetPr codeName="Sheet2"/>
  <dimension ref="A1:L12"/>
  <sheetViews>
    <sheetView workbookViewId="0">
      <selection activeCell="A4" sqref="A4"/>
    </sheetView>
  </sheetViews>
  <sheetFormatPr defaultRowHeight="15" x14ac:dyDescent="0.25"/>
  <cols>
    <col min="1" max="1" width="17.140625" customWidth="1"/>
    <col min="2" max="2" width="18.5703125" customWidth="1"/>
    <col min="3" max="3" width="19.140625" customWidth="1"/>
    <col min="4" max="4" width="16.28515625" customWidth="1"/>
    <col min="5" max="5" width="15.140625" customWidth="1"/>
    <col min="6" max="6" width="15.42578125" customWidth="1"/>
    <col min="10" max="10" width="17.28515625" customWidth="1"/>
    <col min="13" max="13" width="17.85546875" customWidth="1"/>
  </cols>
  <sheetData>
    <row r="1" spans="1:12" ht="81" customHeight="1" x14ac:dyDescent="0.25">
      <c r="A1">
        <v>1</v>
      </c>
      <c r="C1">
        <v>1</v>
      </c>
      <c r="E1">
        <v>1</v>
      </c>
      <c r="I1">
        <v>1</v>
      </c>
      <c r="L1">
        <v>1</v>
      </c>
    </row>
    <row r="2" spans="1:12" ht="67.5" customHeight="1" x14ac:dyDescent="0.25">
      <c r="A2">
        <v>2</v>
      </c>
      <c r="C2">
        <v>2</v>
      </c>
      <c r="E2">
        <v>2</v>
      </c>
      <c r="I2">
        <v>2</v>
      </c>
      <c r="L2">
        <v>2</v>
      </c>
    </row>
    <row r="3" spans="1:12" ht="69" customHeight="1" x14ac:dyDescent="0.25">
      <c r="A3">
        <v>3</v>
      </c>
      <c r="C3">
        <v>3</v>
      </c>
      <c r="F3">
        <f>duomenys!H7</f>
        <v>1</v>
      </c>
      <c r="I3">
        <v>3</v>
      </c>
    </row>
    <row r="4" spans="1:12" ht="67.5" customHeight="1" x14ac:dyDescent="0.25">
      <c r="B4">
        <f>duomenys!F7</f>
        <v>2</v>
      </c>
      <c r="C4">
        <v>4</v>
      </c>
    </row>
    <row r="5" spans="1:12" ht="60.75" customHeight="1" x14ac:dyDescent="0.25">
      <c r="C5">
        <v>5</v>
      </c>
    </row>
    <row r="6" spans="1:12" ht="77.25" customHeight="1" x14ac:dyDescent="0.25">
      <c r="C6">
        <v>6</v>
      </c>
    </row>
    <row r="7" spans="1:12" ht="60" customHeight="1" x14ac:dyDescent="0.25">
      <c r="C7">
        <v>7</v>
      </c>
    </row>
    <row r="8" spans="1:12" ht="63" customHeight="1" x14ac:dyDescent="0.25">
      <c r="C8">
        <v>8</v>
      </c>
    </row>
    <row r="9" spans="1:12" ht="66.75" customHeight="1" x14ac:dyDescent="0.25">
      <c r="C9">
        <v>9</v>
      </c>
    </row>
    <row r="10" spans="1:12" ht="53.25" customHeight="1" x14ac:dyDescent="0.25">
      <c r="C10">
        <v>10</v>
      </c>
    </row>
    <row r="11" spans="1:12" ht="70.5" customHeight="1" x14ac:dyDescent="0.25">
      <c r="C11">
        <v>11</v>
      </c>
    </row>
    <row r="12" spans="1:12" ht="39" customHeight="1" x14ac:dyDescent="0.25">
      <c r="D12">
        <f>duomenys!G7</f>
        <v>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3CCF-B4BE-4FF4-9121-1FA8155C8DF0}">
  <sheetPr codeName="Sheet3"/>
  <dimension ref="A1:AB129"/>
  <sheetViews>
    <sheetView topLeftCell="A103" workbookViewId="0">
      <selection activeCell="A30" sqref="A30:A129"/>
    </sheetView>
  </sheetViews>
  <sheetFormatPr defaultRowHeight="15" x14ac:dyDescent="0.25"/>
  <sheetData>
    <row r="1" spans="1:28" x14ac:dyDescent="0.25">
      <c r="A1" t="s">
        <v>178</v>
      </c>
      <c r="B1" t="s">
        <v>179</v>
      </c>
      <c r="C1" t="s">
        <v>180</v>
      </c>
      <c r="D1" t="s">
        <v>181</v>
      </c>
      <c r="E1" t="s">
        <v>182</v>
      </c>
      <c r="F1" t="s">
        <v>183</v>
      </c>
      <c r="G1" t="s">
        <v>184</v>
      </c>
      <c r="H1" t="s">
        <v>185</v>
      </c>
      <c r="I1" t="s">
        <v>186</v>
      </c>
      <c r="J1" t="s">
        <v>187</v>
      </c>
      <c r="K1" t="s">
        <v>188</v>
      </c>
      <c r="L1" t="s">
        <v>189</v>
      </c>
      <c r="M1" t="s">
        <v>190</v>
      </c>
      <c r="N1" t="s">
        <v>191</v>
      </c>
      <c r="O1" t="s">
        <v>192</v>
      </c>
      <c r="P1" t="s">
        <v>193</v>
      </c>
      <c r="Q1" t="s">
        <v>194</v>
      </c>
      <c r="R1" t="s">
        <v>195</v>
      </c>
      <c r="S1" t="s">
        <v>196</v>
      </c>
      <c r="T1" t="s">
        <v>197</v>
      </c>
      <c r="U1" t="s">
        <v>198</v>
      </c>
      <c r="V1" t="s">
        <v>199</v>
      </c>
      <c r="W1" s="2" t="s">
        <v>200</v>
      </c>
      <c r="X1" t="s">
        <v>201</v>
      </c>
      <c r="Y1" t="s">
        <v>202</v>
      </c>
      <c r="Z1" t="s">
        <v>203</v>
      </c>
      <c r="AA1" t="s">
        <v>204</v>
      </c>
      <c r="AB1" t="s">
        <v>205</v>
      </c>
    </row>
    <row r="2" spans="1:28" x14ac:dyDescent="0.25">
      <c r="A2" t="s">
        <v>206</v>
      </c>
      <c r="B2" t="s">
        <v>207</v>
      </c>
      <c r="C2" t="s">
        <v>208</v>
      </c>
      <c r="D2" t="s">
        <v>209</v>
      </c>
      <c r="E2" t="s">
        <v>210</v>
      </c>
      <c r="F2" t="s">
        <v>211</v>
      </c>
      <c r="G2" t="s">
        <v>212</v>
      </c>
      <c r="H2" t="s">
        <v>213</v>
      </c>
      <c r="I2" t="s">
        <v>214</v>
      </c>
      <c r="J2" t="s">
        <v>215</v>
      </c>
      <c r="K2" t="s">
        <v>216</v>
      </c>
      <c r="L2" t="s">
        <v>217</v>
      </c>
      <c r="M2" t="s">
        <v>218</v>
      </c>
      <c r="N2" t="s">
        <v>219</v>
      </c>
      <c r="O2" t="s">
        <v>220</v>
      </c>
      <c r="P2" t="s">
        <v>221</v>
      </c>
      <c r="Q2" t="s">
        <v>222</v>
      </c>
      <c r="R2" t="s">
        <v>223</v>
      </c>
      <c r="S2" t="s">
        <v>224</v>
      </c>
      <c r="T2" t="s">
        <v>225</v>
      </c>
      <c r="U2" t="s">
        <v>226</v>
      </c>
      <c r="V2" t="s">
        <v>227</v>
      </c>
      <c r="W2" s="2" t="s">
        <v>228</v>
      </c>
      <c r="X2" t="s">
        <v>229</v>
      </c>
      <c r="Y2" t="s">
        <v>230</v>
      </c>
      <c r="Z2" t="s">
        <v>231</v>
      </c>
      <c r="AA2" t="s">
        <v>232</v>
      </c>
      <c r="AB2" t="s">
        <v>233</v>
      </c>
    </row>
    <row r="3" spans="1:28" x14ac:dyDescent="0.25">
      <c r="A3" t="s">
        <v>234</v>
      </c>
      <c r="B3" t="s">
        <v>235</v>
      </c>
      <c r="C3" t="s">
        <v>236</v>
      </c>
      <c r="D3" t="s">
        <v>237</v>
      </c>
      <c r="E3" t="s">
        <v>238</v>
      </c>
      <c r="F3" t="s">
        <v>239</v>
      </c>
      <c r="G3" t="s">
        <v>240</v>
      </c>
      <c r="H3" t="s">
        <v>241</v>
      </c>
      <c r="I3" t="s">
        <v>242</v>
      </c>
      <c r="J3" t="s">
        <v>243</v>
      </c>
      <c r="K3" t="s">
        <v>244</v>
      </c>
      <c r="L3" t="s">
        <v>245</v>
      </c>
      <c r="M3" t="s">
        <v>246</v>
      </c>
      <c r="N3" t="s">
        <v>247</v>
      </c>
      <c r="O3" t="s">
        <v>248</v>
      </c>
      <c r="P3" t="s">
        <v>249</v>
      </c>
      <c r="Q3" t="s">
        <v>250</v>
      </c>
      <c r="R3" t="s">
        <v>251</v>
      </c>
      <c r="S3" t="s">
        <v>252</v>
      </c>
      <c r="T3" t="s">
        <v>253</v>
      </c>
      <c r="U3" t="s">
        <v>254</v>
      </c>
      <c r="V3" t="s">
        <v>255</v>
      </c>
      <c r="W3" s="2" t="s">
        <v>256</v>
      </c>
      <c r="X3" t="s">
        <v>257</v>
      </c>
      <c r="Y3" t="s">
        <v>258</v>
      </c>
      <c r="Z3" t="s">
        <v>259</v>
      </c>
      <c r="AA3" t="s">
        <v>260</v>
      </c>
      <c r="AB3" t="s">
        <v>261</v>
      </c>
    </row>
    <row r="4" spans="1:28" x14ac:dyDescent="0.25">
      <c r="A4" t="s">
        <v>262</v>
      </c>
      <c r="B4" t="s">
        <v>263</v>
      </c>
      <c r="C4" t="s">
        <v>264</v>
      </c>
      <c r="D4" t="s">
        <v>265</v>
      </c>
      <c r="E4" t="s">
        <v>266</v>
      </c>
      <c r="F4" t="s">
        <v>267</v>
      </c>
      <c r="G4" t="s">
        <v>268</v>
      </c>
      <c r="H4" t="s">
        <v>269</v>
      </c>
      <c r="I4" t="s">
        <v>270</v>
      </c>
      <c r="J4" t="s">
        <v>271</v>
      </c>
      <c r="K4" t="s">
        <v>272</v>
      </c>
      <c r="L4" t="s">
        <v>273</v>
      </c>
      <c r="M4" t="s">
        <v>274</v>
      </c>
      <c r="N4" t="s">
        <v>275</v>
      </c>
      <c r="O4" t="s">
        <v>276</v>
      </c>
      <c r="P4" t="s">
        <v>277</v>
      </c>
      <c r="Q4" t="s">
        <v>278</v>
      </c>
      <c r="R4" t="s">
        <v>279</v>
      </c>
      <c r="S4" t="s">
        <v>280</v>
      </c>
      <c r="T4" t="s">
        <v>281</v>
      </c>
      <c r="U4" t="s">
        <v>282</v>
      </c>
      <c r="V4" t="s">
        <v>283</v>
      </c>
      <c r="W4" s="2" t="s">
        <v>284</v>
      </c>
      <c r="X4" t="s">
        <v>285</v>
      </c>
      <c r="Y4" t="s">
        <v>286</v>
      </c>
      <c r="Z4" t="s">
        <v>287</v>
      </c>
      <c r="AA4" t="s">
        <v>288</v>
      </c>
      <c r="AB4" t="s">
        <v>289</v>
      </c>
    </row>
    <row r="5" spans="1:28" x14ac:dyDescent="0.25">
      <c r="A5" t="s">
        <v>290</v>
      </c>
      <c r="B5" t="s">
        <v>291</v>
      </c>
      <c r="C5" t="s">
        <v>292</v>
      </c>
      <c r="D5" t="s">
        <v>293</v>
      </c>
      <c r="E5" t="s">
        <v>294</v>
      </c>
      <c r="F5" t="s">
        <v>295</v>
      </c>
      <c r="G5" t="s">
        <v>296</v>
      </c>
      <c r="H5" t="s">
        <v>297</v>
      </c>
      <c r="I5" t="s">
        <v>298</v>
      </c>
      <c r="J5" t="s">
        <v>299</v>
      </c>
      <c r="K5" t="s">
        <v>300</v>
      </c>
      <c r="L5" t="s">
        <v>301</v>
      </c>
      <c r="M5" t="s">
        <v>302</v>
      </c>
      <c r="N5" t="s">
        <v>303</v>
      </c>
      <c r="O5" t="s">
        <v>304</v>
      </c>
      <c r="P5" t="s">
        <v>305</v>
      </c>
      <c r="Q5" t="s">
        <v>194</v>
      </c>
      <c r="R5" t="s">
        <v>306</v>
      </c>
      <c r="S5" t="s">
        <v>307</v>
      </c>
      <c r="T5" t="s">
        <v>308</v>
      </c>
      <c r="U5" t="s">
        <v>309</v>
      </c>
      <c r="V5" t="s">
        <v>310</v>
      </c>
      <c r="W5" s="2" t="s">
        <v>311</v>
      </c>
      <c r="X5" t="s">
        <v>312</v>
      </c>
      <c r="Y5" t="s">
        <v>313</v>
      </c>
      <c r="Z5" t="s">
        <v>314</v>
      </c>
      <c r="AA5" t="s">
        <v>315</v>
      </c>
      <c r="AB5" t="s">
        <v>316</v>
      </c>
    </row>
    <row r="6" spans="1:28" x14ac:dyDescent="0.25">
      <c r="A6" t="s">
        <v>317</v>
      </c>
      <c r="B6" t="s">
        <v>318</v>
      </c>
      <c r="C6" t="s">
        <v>319</v>
      </c>
      <c r="D6" t="s">
        <v>320</v>
      </c>
      <c r="E6" t="s">
        <v>321</v>
      </c>
      <c r="F6" t="s">
        <v>322</v>
      </c>
      <c r="G6" t="s">
        <v>323</v>
      </c>
      <c r="H6" t="s">
        <v>324</v>
      </c>
      <c r="I6" t="s">
        <v>325</v>
      </c>
      <c r="J6" t="s">
        <v>326</v>
      </c>
      <c r="K6" t="s">
        <v>327</v>
      </c>
      <c r="L6" t="s">
        <v>328</v>
      </c>
      <c r="M6" t="s">
        <v>329</v>
      </c>
      <c r="N6" t="s">
        <v>330</v>
      </c>
      <c r="O6" t="s">
        <v>331</v>
      </c>
      <c r="P6" t="s">
        <v>332</v>
      </c>
      <c r="Q6" t="s">
        <v>222</v>
      </c>
      <c r="R6" t="s">
        <v>333</v>
      </c>
      <c r="S6" t="s">
        <v>334</v>
      </c>
      <c r="T6" t="s">
        <v>335</v>
      </c>
      <c r="U6" t="s">
        <v>336</v>
      </c>
      <c r="V6" t="s">
        <v>337</v>
      </c>
      <c r="W6" s="2" t="s">
        <v>338</v>
      </c>
      <c r="X6" t="s">
        <v>339</v>
      </c>
      <c r="Y6" t="s">
        <v>340</v>
      </c>
      <c r="Z6" t="s">
        <v>341</v>
      </c>
      <c r="AA6" t="s">
        <v>342</v>
      </c>
      <c r="AB6" t="s">
        <v>343</v>
      </c>
    </row>
    <row r="7" spans="1:28" x14ac:dyDescent="0.25">
      <c r="A7" t="s">
        <v>344</v>
      </c>
      <c r="B7" t="s">
        <v>345</v>
      </c>
      <c r="C7" t="s">
        <v>346</v>
      </c>
      <c r="D7" t="s">
        <v>347</v>
      </c>
      <c r="E7" t="s">
        <v>348</v>
      </c>
      <c r="F7" t="s">
        <v>349</v>
      </c>
      <c r="G7" t="s">
        <v>350</v>
      </c>
      <c r="H7" t="s">
        <v>351</v>
      </c>
      <c r="I7" t="s">
        <v>352</v>
      </c>
      <c r="J7" t="s">
        <v>353</v>
      </c>
      <c r="K7" t="s">
        <v>354</v>
      </c>
      <c r="L7" t="s">
        <v>355</v>
      </c>
      <c r="M7" t="s">
        <v>356</v>
      </c>
      <c r="N7" t="s">
        <v>357</v>
      </c>
      <c r="O7" t="s">
        <v>358</v>
      </c>
      <c r="P7" t="s">
        <v>359</v>
      </c>
      <c r="Q7" t="s">
        <v>250</v>
      </c>
      <c r="R7" t="s">
        <v>360</v>
      </c>
      <c r="S7" t="s">
        <v>361</v>
      </c>
      <c r="T7" t="s">
        <v>362</v>
      </c>
      <c r="U7" t="s">
        <v>363</v>
      </c>
      <c r="V7" t="s">
        <v>364</v>
      </c>
      <c r="W7" s="2" t="s">
        <v>365</v>
      </c>
      <c r="X7" t="s">
        <v>366</v>
      </c>
      <c r="Y7" t="s">
        <v>367</v>
      </c>
      <c r="Z7" t="s">
        <v>368</v>
      </c>
      <c r="AA7" t="s">
        <v>369</v>
      </c>
      <c r="AB7" t="s">
        <v>370</v>
      </c>
    </row>
    <row r="8" spans="1:28" x14ac:dyDescent="0.25">
      <c r="A8" t="s">
        <v>371</v>
      </c>
      <c r="B8" t="s">
        <v>372</v>
      </c>
      <c r="C8" t="s">
        <v>373</v>
      </c>
      <c r="D8" t="s">
        <v>374</v>
      </c>
      <c r="E8" t="s">
        <v>375</v>
      </c>
      <c r="F8" t="s">
        <v>376</v>
      </c>
      <c r="G8" t="s">
        <v>377</v>
      </c>
      <c r="H8" t="s">
        <v>378</v>
      </c>
      <c r="I8" t="s">
        <v>379</v>
      </c>
      <c r="J8" t="s">
        <v>380</v>
      </c>
      <c r="K8" t="s">
        <v>381</v>
      </c>
      <c r="L8" t="s">
        <v>382</v>
      </c>
      <c r="M8" t="s">
        <v>383</v>
      </c>
      <c r="N8" t="s">
        <v>384</v>
      </c>
      <c r="O8" t="s">
        <v>385</v>
      </c>
      <c r="P8" t="s">
        <v>386</v>
      </c>
      <c r="Q8" t="s">
        <v>278</v>
      </c>
      <c r="R8" t="s">
        <v>387</v>
      </c>
      <c r="S8" t="s">
        <v>388</v>
      </c>
      <c r="T8" t="s">
        <v>389</v>
      </c>
      <c r="U8" t="s">
        <v>390</v>
      </c>
      <c r="V8" t="s">
        <v>391</v>
      </c>
      <c r="W8" s="2" t="s">
        <v>392</v>
      </c>
      <c r="X8" t="s">
        <v>393</v>
      </c>
      <c r="Y8" t="s">
        <v>394</v>
      </c>
      <c r="Z8" t="s">
        <v>395</v>
      </c>
      <c r="AA8" t="s">
        <v>396</v>
      </c>
      <c r="AB8" t="s">
        <v>397</v>
      </c>
    </row>
    <row r="9" spans="1:28" x14ac:dyDescent="0.25">
      <c r="A9" t="s">
        <v>398</v>
      </c>
      <c r="B9" t="s">
        <v>399</v>
      </c>
      <c r="C9" t="s">
        <v>400</v>
      </c>
      <c r="D9" t="s">
        <v>401</v>
      </c>
      <c r="E9" t="s">
        <v>402</v>
      </c>
      <c r="F9" t="s">
        <v>403</v>
      </c>
      <c r="G9" t="s">
        <v>404</v>
      </c>
      <c r="H9" t="s">
        <v>405</v>
      </c>
      <c r="I9" t="s">
        <v>406</v>
      </c>
      <c r="J9" t="s">
        <v>407</v>
      </c>
      <c r="K9" t="s">
        <v>408</v>
      </c>
      <c r="L9" t="s">
        <v>409</v>
      </c>
      <c r="M9" t="s">
        <v>410</v>
      </c>
      <c r="N9" t="s">
        <v>411</v>
      </c>
      <c r="O9" t="s">
        <v>412</v>
      </c>
      <c r="P9" t="s">
        <v>413</v>
      </c>
      <c r="Q9" t="s">
        <v>194</v>
      </c>
      <c r="R9" t="s">
        <v>414</v>
      </c>
      <c r="S9" t="s">
        <v>415</v>
      </c>
      <c r="T9" t="s">
        <v>416</v>
      </c>
      <c r="U9" t="s">
        <v>417</v>
      </c>
      <c r="V9" t="s">
        <v>418</v>
      </c>
      <c r="W9" s="2" t="s">
        <v>419</v>
      </c>
      <c r="X9" t="s">
        <v>420</v>
      </c>
      <c r="Y9" t="s">
        <v>421</v>
      </c>
      <c r="Z9" t="s">
        <v>422</v>
      </c>
      <c r="AA9" t="s">
        <v>423</v>
      </c>
      <c r="AB9" t="s">
        <v>424</v>
      </c>
    </row>
    <row r="10" spans="1:28" x14ac:dyDescent="0.25">
      <c r="A10" t="s">
        <v>425</v>
      </c>
      <c r="B10" t="s">
        <v>426</v>
      </c>
      <c r="C10" t="s">
        <v>427</v>
      </c>
      <c r="D10" t="s">
        <v>428</v>
      </c>
      <c r="E10" t="s">
        <v>429</v>
      </c>
      <c r="F10" t="s">
        <v>430</v>
      </c>
      <c r="G10" t="s">
        <v>431</v>
      </c>
      <c r="H10" t="s">
        <v>432</v>
      </c>
      <c r="I10" t="s">
        <v>433</v>
      </c>
      <c r="J10" t="s">
        <v>434</v>
      </c>
      <c r="K10" t="s">
        <v>435</v>
      </c>
      <c r="L10" t="s">
        <v>436</v>
      </c>
      <c r="M10" t="s">
        <v>437</v>
      </c>
      <c r="N10" t="s">
        <v>438</v>
      </c>
      <c r="O10" t="s">
        <v>439</v>
      </c>
      <c r="P10" t="s">
        <v>440</v>
      </c>
      <c r="Q10" t="s">
        <v>222</v>
      </c>
      <c r="R10" t="s">
        <v>441</v>
      </c>
      <c r="S10" t="s">
        <v>442</v>
      </c>
      <c r="T10" t="s">
        <v>443</v>
      </c>
      <c r="U10" t="s">
        <v>444</v>
      </c>
      <c r="V10" t="s">
        <v>445</v>
      </c>
      <c r="W10" s="2" t="s">
        <v>446</v>
      </c>
      <c r="X10" t="s">
        <v>447</v>
      </c>
      <c r="Y10" t="s">
        <v>448</v>
      </c>
      <c r="Z10" t="s">
        <v>449</v>
      </c>
      <c r="AA10" t="s">
        <v>450</v>
      </c>
      <c r="AB10" t="s">
        <v>451</v>
      </c>
    </row>
    <row r="11" spans="1:28" x14ac:dyDescent="0.25">
      <c r="A11" t="s">
        <v>452</v>
      </c>
      <c r="B11" t="s">
        <v>453</v>
      </c>
      <c r="C11" t="s">
        <v>454</v>
      </c>
      <c r="D11" t="s">
        <v>455</v>
      </c>
      <c r="E11" t="s">
        <v>456</v>
      </c>
      <c r="F11" t="s">
        <v>457</v>
      </c>
      <c r="G11" t="s">
        <v>458</v>
      </c>
      <c r="H11" t="s">
        <v>459</v>
      </c>
      <c r="I11" t="s">
        <v>460</v>
      </c>
      <c r="J11" t="s">
        <v>461</v>
      </c>
      <c r="K11" t="s">
        <v>462</v>
      </c>
      <c r="L11" t="s">
        <v>463</v>
      </c>
      <c r="M11" t="s">
        <v>464</v>
      </c>
      <c r="N11" t="s">
        <v>465</v>
      </c>
      <c r="O11" t="s">
        <v>466</v>
      </c>
      <c r="P11" t="s">
        <v>467</v>
      </c>
      <c r="Q11" t="s">
        <v>250</v>
      </c>
      <c r="R11" t="s">
        <v>468</v>
      </c>
      <c r="S11" t="s">
        <v>469</v>
      </c>
      <c r="T11" t="s">
        <v>470</v>
      </c>
      <c r="U11" t="s">
        <v>471</v>
      </c>
      <c r="V11" t="s">
        <v>472</v>
      </c>
      <c r="W11" s="2" t="s">
        <v>473</v>
      </c>
      <c r="X11" t="s">
        <v>474</v>
      </c>
      <c r="Y11" t="s">
        <v>475</v>
      </c>
      <c r="Z11" t="s">
        <v>476</v>
      </c>
      <c r="AA11" t="s">
        <v>477</v>
      </c>
      <c r="AB11" t="s">
        <v>478</v>
      </c>
    </row>
    <row r="12" spans="1:28" x14ac:dyDescent="0.25">
      <c r="A12" t="s">
        <v>479</v>
      </c>
      <c r="B12" t="s">
        <v>480</v>
      </c>
      <c r="C12" t="s">
        <v>481</v>
      </c>
      <c r="D12" t="s">
        <v>482</v>
      </c>
      <c r="E12" t="s">
        <v>483</v>
      </c>
      <c r="F12" t="s">
        <v>484</v>
      </c>
      <c r="G12" t="s">
        <v>485</v>
      </c>
      <c r="H12" t="s">
        <v>486</v>
      </c>
      <c r="I12" t="s">
        <v>487</v>
      </c>
      <c r="J12" t="s">
        <v>488</v>
      </c>
      <c r="K12" t="s">
        <v>489</v>
      </c>
      <c r="L12" t="s">
        <v>490</v>
      </c>
      <c r="M12" t="s">
        <v>491</v>
      </c>
      <c r="N12" t="s">
        <v>492</v>
      </c>
      <c r="O12" t="s">
        <v>493</v>
      </c>
      <c r="P12" t="s">
        <v>494</v>
      </c>
      <c r="Q12" t="s">
        <v>278</v>
      </c>
      <c r="R12" t="s">
        <v>495</v>
      </c>
      <c r="S12" t="s">
        <v>496</v>
      </c>
      <c r="T12" t="s">
        <v>497</v>
      </c>
      <c r="U12" t="s">
        <v>498</v>
      </c>
      <c r="V12" t="s">
        <v>499</v>
      </c>
      <c r="W12" s="2" t="s">
        <v>500</v>
      </c>
      <c r="X12" t="s">
        <v>501</v>
      </c>
      <c r="Y12" t="s">
        <v>502</v>
      </c>
      <c r="Z12" t="s">
        <v>503</v>
      </c>
      <c r="AA12" t="s">
        <v>504</v>
      </c>
      <c r="AB12" t="s">
        <v>505</v>
      </c>
    </row>
    <row r="13" spans="1:28" x14ac:dyDescent="0.25">
      <c r="A13" t="s">
        <v>506</v>
      </c>
      <c r="B13" t="s">
        <v>507</v>
      </c>
      <c r="C13" t="s">
        <v>508</v>
      </c>
      <c r="D13" t="s">
        <v>509</v>
      </c>
      <c r="E13" t="s">
        <v>510</v>
      </c>
      <c r="F13" t="s">
        <v>511</v>
      </c>
      <c r="G13" t="s">
        <v>512</v>
      </c>
      <c r="H13" t="s">
        <v>513</v>
      </c>
      <c r="I13" t="s">
        <v>514</v>
      </c>
      <c r="J13" t="s">
        <v>515</v>
      </c>
      <c r="K13" t="s">
        <v>516</v>
      </c>
      <c r="L13" t="s">
        <v>517</v>
      </c>
      <c r="M13" t="s">
        <v>518</v>
      </c>
      <c r="N13" t="s">
        <v>519</v>
      </c>
      <c r="O13" t="s">
        <v>520</v>
      </c>
      <c r="P13" t="s">
        <v>521</v>
      </c>
      <c r="Q13" t="s">
        <v>194</v>
      </c>
      <c r="R13" t="s">
        <v>522</v>
      </c>
      <c r="S13" t="s">
        <v>523</v>
      </c>
      <c r="T13" t="s">
        <v>524</v>
      </c>
      <c r="U13" t="s">
        <v>525</v>
      </c>
      <c r="V13" t="s">
        <v>526</v>
      </c>
      <c r="W13" s="2" t="s">
        <v>527</v>
      </c>
      <c r="X13" t="s">
        <v>528</v>
      </c>
      <c r="Y13" t="s">
        <v>529</v>
      </c>
      <c r="Z13" t="s">
        <v>530</v>
      </c>
      <c r="AA13" t="s">
        <v>531</v>
      </c>
      <c r="AB13" t="s">
        <v>532</v>
      </c>
    </row>
    <row r="14" spans="1:28" x14ac:dyDescent="0.25">
      <c r="A14" t="s">
        <v>533</v>
      </c>
      <c r="B14" t="s">
        <v>534</v>
      </c>
      <c r="C14" t="s">
        <v>535</v>
      </c>
      <c r="D14" t="s">
        <v>536</v>
      </c>
      <c r="E14" t="s">
        <v>537</v>
      </c>
      <c r="F14" t="s">
        <v>538</v>
      </c>
      <c r="G14" t="s">
        <v>539</v>
      </c>
      <c r="H14" t="s">
        <v>540</v>
      </c>
      <c r="I14" t="s">
        <v>541</v>
      </c>
      <c r="J14" t="s">
        <v>542</v>
      </c>
      <c r="K14" t="s">
        <v>543</v>
      </c>
      <c r="L14" t="s">
        <v>544</v>
      </c>
      <c r="M14" t="s">
        <v>545</v>
      </c>
      <c r="N14" t="s">
        <v>546</v>
      </c>
      <c r="O14" t="s">
        <v>547</v>
      </c>
      <c r="P14" t="s">
        <v>548</v>
      </c>
      <c r="Q14" t="s">
        <v>222</v>
      </c>
      <c r="R14" t="s">
        <v>549</v>
      </c>
      <c r="S14" t="s">
        <v>550</v>
      </c>
      <c r="T14" t="s">
        <v>551</v>
      </c>
      <c r="U14" t="s">
        <v>552</v>
      </c>
      <c r="V14" t="s">
        <v>553</v>
      </c>
      <c r="W14" s="2" t="s">
        <v>554</v>
      </c>
      <c r="X14" t="s">
        <v>555</v>
      </c>
      <c r="Y14" t="s">
        <v>556</v>
      </c>
      <c r="Z14" t="s">
        <v>557</v>
      </c>
      <c r="AA14" t="s">
        <v>558</v>
      </c>
      <c r="AB14" t="s">
        <v>559</v>
      </c>
    </row>
    <row r="15" spans="1:28" x14ac:dyDescent="0.25">
      <c r="A15" t="s">
        <v>560</v>
      </c>
      <c r="B15" t="s">
        <v>561</v>
      </c>
      <c r="C15" t="s">
        <v>562</v>
      </c>
      <c r="D15" t="s">
        <v>563</v>
      </c>
      <c r="E15" t="s">
        <v>564</v>
      </c>
      <c r="F15" t="s">
        <v>565</v>
      </c>
      <c r="G15" t="s">
        <v>566</v>
      </c>
      <c r="H15" t="s">
        <v>567</v>
      </c>
      <c r="I15" t="s">
        <v>568</v>
      </c>
      <c r="J15" t="s">
        <v>569</v>
      </c>
      <c r="K15" t="s">
        <v>570</v>
      </c>
      <c r="L15" t="s">
        <v>571</v>
      </c>
      <c r="M15" t="s">
        <v>572</v>
      </c>
      <c r="N15" t="s">
        <v>573</v>
      </c>
      <c r="O15" t="s">
        <v>574</v>
      </c>
      <c r="P15" t="s">
        <v>575</v>
      </c>
      <c r="Q15" t="s">
        <v>250</v>
      </c>
      <c r="R15" t="s">
        <v>576</v>
      </c>
      <c r="S15" t="s">
        <v>577</v>
      </c>
      <c r="T15" t="s">
        <v>578</v>
      </c>
      <c r="U15" t="s">
        <v>579</v>
      </c>
      <c r="V15" t="s">
        <v>580</v>
      </c>
      <c r="W15" s="2" t="s">
        <v>581</v>
      </c>
      <c r="X15" t="s">
        <v>582</v>
      </c>
      <c r="Y15" t="s">
        <v>583</v>
      </c>
      <c r="Z15" t="s">
        <v>584</v>
      </c>
      <c r="AA15" t="s">
        <v>585</v>
      </c>
      <c r="AB15" t="s">
        <v>586</v>
      </c>
    </row>
    <row r="16" spans="1:28" x14ac:dyDescent="0.25">
      <c r="A16" t="s">
        <v>587</v>
      </c>
      <c r="B16" t="s">
        <v>588</v>
      </c>
      <c r="C16" t="s">
        <v>589</v>
      </c>
      <c r="D16" t="s">
        <v>590</v>
      </c>
      <c r="E16" t="s">
        <v>591</v>
      </c>
      <c r="F16" t="s">
        <v>592</v>
      </c>
      <c r="G16" t="s">
        <v>593</v>
      </c>
      <c r="H16" t="s">
        <v>594</v>
      </c>
      <c r="I16" t="s">
        <v>595</v>
      </c>
      <c r="J16" t="s">
        <v>596</v>
      </c>
      <c r="K16" t="s">
        <v>597</v>
      </c>
      <c r="L16" t="s">
        <v>598</v>
      </c>
      <c r="M16" t="s">
        <v>599</v>
      </c>
      <c r="N16" t="s">
        <v>600</v>
      </c>
      <c r="O16" t="s">
        <v>601</v>
      </c>
      <c r="P16" t="s">
        <v>602</v>
      </c>
      <c r="Q16" t="s">
        <v>278</v>
      </c>
      <c r="R16" t="s">
        <v>603</v>
      </c>
      <c r="S16" t="s">
        <v>604</v>
      </c>
      <c r="T16" t="s">
        <v>605</v>
      </c>
      <c r="U16" t="s">
        <v>606</v>
      </c>
      <c r="V16" t="s">
        <v>607</v>
      </c>
      <c r="W16" s="2" t="s">
        <v>608</v>
      </c>
      <c r="X16" t="s">
        <v>609</v>
      </c>
      <c r="Y16" t="s">
        <v>610</v>
      </c>
      <c r="Z16" t="s">
        <v>611</v>
      </c>
      <c r="AA16" t="s">
        <v>612</v>
      </c>
      <c r="AB16" t="s">
        <v>613</v>
      </c>
    </row>
    <row r="17" spans="1:28" x14ac:dyDescent="0.25">
      <c r="A17" t="s">
        <v>614</v>
      </c>
      <c r="B17" t="s">
        <v>615</v>
      </c>
      <c r="C17" t="s">
        <v>616</v>
      </c>
      <c r="D17" t="s">
        <v>617</v>
      </c>
      <c r="E17" t="s">
        <v>618</v>
      </c>
      <c r="F17" t="s">
        <v>619</v>
      </c>
      <c r="G17" t="s">
        <v>620</v>
      </c>
      <c r="H17" t="s">
        <v>621</v>
      </c>
      <c r="I17" t="s">
        <v>622</v>
      </c>
      <c r="J17" t="s">
        <v>623</v>
      </c>
      <c r="K17" t="s">
        <v>624</v>
      </c>
      <c r="L17" t="s">
        <v>625</v>
      </c>
      <c r="M17" t="s">
        <v>626</v>
      </c>
      <c r="N17" t="s">
        <v>627</v>
      </c>
      <c r="O17" t="s">
        <v>628</v>
      </c>
      <c r="P17" t="s">
        <v>629</v>
      </c>
      <c r="Q17" t="s">
        <v>194</v>
      </c>
      <c r="R17" t="s">
        <v>630</v>
      </c>
      <c r="S17" t="s">
        <v>631</v>
      </c>
      <c r="T17" t="s">
        <v>632</v>
      </c>
      <c r="U17" t="s">
        <v>633</v>
      </c>
      <c r="V17" t="s">
        <v>634</v>
      </c>
      <c r="W17" s="2" t="s">
        <v>635</v>
      </c>
      <c r="X17" t="s">
        <v>636</v>
      </c>
      <c r="Y17" t="s">
        <v>637</v>
      </c>
      <c r="Z17" t="s">
        <v>638</v>
      </c>
      <c r="AA17" t="s">
        <v>639</v>
      </c>
      <c r="AB17" t="s">
        <v>640</v>
      </c>
    </row>
    <row r="18" spans="1:28" x14ac:dyDescent="0.25">
      <c r="A18" t="s">
        <v>641</v>
      </c>
      <c r="B18" t="s">
        <v>642</v>
      </c>
      <c r="C18" t="s">
        <v>643</v>
      </c>
      <c r="D18" t="s">
        <v>644</v>
      </c>
      <c r="E18" t="s">
        <v>645</v>
      </c>
      <c r="F18" t="s">
        <v>646</v>
      </c>
      <c r="G18" t="s">
        <v>647</v>
      </c>
      <c r="H18" t="s">
        <v>648</v>
      </c>
      <c r="I18" t="s">
        <v>649</v>
      </c>
      <c r="J18" t="s">
        <v>650</v>
      </c>
      <c r="K18" t="s">
        <v>651</v>
      </c>
      <c r="L18" t="s">
        <v>652</v>
      </c>
      <c r="M18" t="s">
        <v>653</v>
      </c>
      <c r="N18" t="s">
        <v>654</v>
      </c>
      <c r="O18" t="s">
        <v>655</v>
      </c>
      <c r="P18" t="s">
        <v>656</v>
      </c>
      <c r="Q18" t="s">
        <v>222</v>
      </c>
      <c r="R18" t="s">
        <v>657</v>
      </c>
      <c r="S18" t="s">
        <v>658</v>
      </c>
      <c r="T18" t="s">
        <v>659</v>
      </c>
      <c r="U18" t="s">
        <v>660</v>
      </c>
      <c r="V18" t="s">
        <v>661</v>
      </c>
      <c r="W18" s="2" t="s">
        <v>662</v>
      </c>
      <c r="X18" t="s">
        <v>663</v>
      </c>
      <c r="Y18" t="s">
        <v>664</v>
      </c>
      <c r="Z18" t="s">
        <v>665</v>
      </c>
      <c r="AA18" t="s">
        <v>666</v>
      </c>
      <c r="AB18" t="s">
        <v>667</v>
      </c>
    </row>
    <row r="19" spans="1:28" x14ac:dyDescent="0.25">
      <c r="A19" t="s">
        <v>668</v>
      </c>
      <c r="B19" t="s">
        <v>669</v>
      </c>
      <c r="C19" t="s">
        <v>670</v>
      </c>
      <c r="D19" t="s">
        <v>671</v>
      </c>
      <c r="E19" t="s">
        <v>672</v>
      </c>
      <c r="F19" t="s">
        <v>673</v>
      </c>
      <c r="G19" t="s">
        <v>674</v>
      </c>
      <c r="H19" t="s">
        <v>675</v>
      </c>
      <c r="I19" t="s">
        <v>676</v>
      </c>
      <c r="J19" t="s">
        <v>677</v>
      </c>
      <c r="K19" t="s">
        <v>678</v>
      </c>
      <c r="L19" t="s">
        <v>679</v>
      </c>
      <c r="M19" t="s">
        <v>680</v>
      </c>
      <c r="N19" t="s">
        <v>681</v>
      </c>
      <c r="O19" t="s">
        <v>682</v>
      </c>
      <c r="P19" t="s">
        <v>683</v>
      </c>
      <c r="Q19" t="s">
        <v>250</v>
      </c>
      <c r="R19" t="s">
        <v>684</v>
      </c>
      <c r="S19" t="s">
        <v>685</v>
      </c>
      <c r="T19" t="s">
        <v>686</v>
      </c>
      <c r="U19" t="s">
        <v>687</v>
      </c>
      <c r="V19" t="s">
        <v>688</v>
      </c>
      <c r="W19" s="2" t="s">
        <v>689</v>
      </c>
      <c r="X19" t="s">
        <v>690</v>
      </c>
      <c r="Y19" t="s">
        <v>691</v>
      </c>
      <c r="Z19" t="s">
        <v>692</v>
      </c>
      <c r="AA19" t="s">
        <v>693</v>
      </c>
      <c r="AB19" t="s">
        <v>694</v>
      </c>
    </row>
    <row r="20" spans="1:28" x14ac:dyDescent="0.25">
      <c r="A20" t="s">
        <v>695</v>
      </c>
      <c r="B20" t="s">
        <v>696</v>
      </c>
      <c r="C20" t="s">
        <v>697</v>
      </c>
      <c r="D20" t="s">
        <v>698</v>
      </c>
      <c r="E20" t="s">
        <v>699</v>
      </c>
      <c r="F20" t="s">
        <v>700</v>
      </c>
      <c r="G20" t="s">
        <v>701</v>
      </c>
      <c r="H20" t="s">
        <v>702</v>
      </c>
      <c r="I20" t="s">
        <v>703</v>
      </c>
      <c r="J20" t="s">
        <v>704</v>
      </c>
      <c r="K20" t="s">
        <v>705</v>
      </c>
      <c r="L20" t="s">
        <v>706</v>
      </c>
      <c r="M20" t="s">
        <v>707</v>
      </c>
      <c r="N20" t="s">
        <v>708</v>
      </c>
      <c r="O20" t="s">
        <v>709</v>
      </c>
      <c r="P20" t="s">
        <v>710</v>
      </c>
      <c r="Q20" t="s">
        <v>278</v>
      </c>
      <c r="R20" t="s">
        <v>711</v>
      </c>
      <c r="S20" t="s">
        <v>712</v>
      </c>
      <c r="T20" t="s">
        <v>713</v>
      </c>
      <c r="U20" t="s">
        <v>714</v>
      </c>
      <c r="V20" t="s">
        <v>715</v>
      </c>
      <c r="W20" s="2" t="s">
        <v>716</v>
      </c>
      <c r="X20" t="s">
        <v>717</v>
      </c>
      <c r="Y20" t="s">
        <v>718</v>
      </c>
      <c r="Z20" t="s">
        <v>719</v>
      </c>
      <c r="AA20" t="s">
        <v>720</v>
      </c>
      <c r="AB20" t="s">
        <v>721</v>
      </c>
    </row>
    <row r="21" spans="1:28" x14ac:dyDescent="0.25">
      <c r="A21" t="s">
        <v>722</v>
      </c>
      <c r="B21" t="s">
        <v>723</v>
      </c>
      <c r="C21" t="s">
        <v>724</v>
      </c>
      <c r="D21" t="s">
        <v>725</v>
      </c>
      <c r="E21" t="s">
        <v>726</v>
      </c>
      <c r="F21" t="s">
        <v>727</v>
      </c>
      <c r="G21" t="s">
        <v>728</v>
      </c>
      <c r="H21" t="s">
        <v>729</v>
      </c>
      <c r="I21" t="s">
        <v>730</v>
      </c>
      <c r="J21" t="s">
        <v>731</v>
      </c>
      <c r="K21" t="s">
        <v>732</v>
      </c>
      <c r="L21" t="s">
        <v>733</v>
      </c>
      <c r="M21" t="s">
        <v>734</v>
      </c>
      <c r="N21" t="s">
        <v>735</v>
      </c>
      <c r="O21" t="s">
        <v>736</v>
      </c>
      <c r="P21" t="s">
        <v>737</v>
      </c>
      <c r="Q21" t="s">
        <v>194</v>
      </c>
      <c r="R21" t="s">
        <v>738</v>
      </c>
      <c r="S21" t="s">
        <v>739</v>
      </c>
      <c r="T21" t="s">
        <v>740</v>
      </c>
      <c r="U21" t="s">
        <v>741</v>
      </c>
      <c r="V21" t="s">
        <v>742</v>
      </c>
      <c r="W21" s="2" t="s">
        <v>743</v>
      </c>
      <c r="X21" t="s">
        <v>744</v>
      </c>
      <c r="Y21" t="s">
        <v>745</v>
      </c>
      <c r="Z21" t="s">
        <v>746</v>
      </c>
      <c r="AA21" t="s">
        <v>747</v>
      </c>
      <c r="AB21" t="s">
        <v>748</v>
      </c>
    </row>
    <row r="30" spans="1:28" x14ac:dyDescent="0.25">
      <c r="A30">
        <v>1</v>
      </c>
    </row>
    <row r="31" spans="1:28" x14ac:dyDescent="0.25">
      <c r="A31">
        <v>2</v>
      </c>
    </row>
    <row r="32" spans="1:28" x14ac:dyDescent="0.25">
      <c r="A32">
        <v>3</v>
      </c>
    </row>
    <row r="33" spans="1:1" x14ac:dyDescent="0.25">
      <c r="A33">
        <v>4</v>
      </c>
    </row>
    <row r="34" spans="1:1" x14ac:dyDescent="0.25">
      <c r="A34">
        <v>5</v>
      </c>
    </row>
    <row r="35" spans="1:1" x14ac:dyDescent="0.25">
      <c r="A35">
        <v>6</v>
      </c>
    </row>
    <row r="36" spans="1:1" x14ac:dyDescent="0.25">
      <c r="A36">
        <v>7</v>
      </c>
    </row>
    <row r="37" spans="1:1" x14ac:dyDescent="0.25">
      <c r="A37">
        <v>8</v>
      </c>
    </row>
    <row r="38" spans="1:1" x14ac:dyDescent="0.25">
      <c r="A38">
        <v>9</v>
      </c>
    </row>
    <row r="39" spans="1:1" x14ac:dyDescent="0.25">
      <c r="A39">
        <v>10</v>
      </c>
    </row>
    <row r="40" spans="1:1" x14ac:dyDescent="0.25">
      <c r="A40">
        <v>11</v>
      </c>
    </row>
    <row r="41" spans="1:1" x14ac:dyDescent="0.25">
      <c r="A41">
        <v>12</v>
      </c>
    </row>
    <row r="42" spans="1:1" x14ac:dyDescent="0.25">
      <c r="A42">
        <v>13</v>
      </c>
    </row>
    <row r="43" spans="1:1" x14ac:dyDescent="0.25">
      <c r="A43">
        <v>14</v>
      </c>
    </row>
    <row r="44" spans="1:1" x14ac:dyDescent="0.25">
      <c r="A44">
        <v>15</v>
      </c>
    </row>
    <row r="45" spans="1:1" x14ac:dyDescent="0.25">
      <c r="A45">
        <v>16</v>
      </c>
    </row>
    <row r="46" spans="1:1" x14ac:dyDescent="0.25">
      <c r="A46">
        <v>17</v>
      </c>
    </row>
    <row r="47" spans="1:1" x14ac:dyDescent="0.25">
      <c r="A47">
        <v>18</v>
      </c>
    </row>
    <row r="48" spans="1:1" x14ac:dyDescent="0.25">
      <c r="A48">
        <v>19</v>
      </c>
    </row>
    <row r="49" spans="1:1" x14ac:dyDescent="0.25">
      <c r="A49">
        <v>20</v>
      </c>
    </row>
    <row r="50" spans="1:1" x14ac:dyDescent="0.25">
      <c r="A50">
        <v>21</v>
      </c>
    </row>
    <row r="51" spans="1:1" x14ac:dyDescent="0.25">
      <c r="A51">
        <v>22</v>
      </c>
    </row>
    <row r="52" spans="1:1" x14ac:dyDescent="0.25">
      <c r="A52">
        <v>23</v>
      </c>
    </row>
    <row r="53" spans="1:1" x14ac:dyDescent="0.25">
      <c r="A53">
        <v>24</v>
      </c>
    </row>
    <row r="54" spans="1:1" x14ac:dyDescent="0.25">
      <c r="A54">
        <v>25</v>
      </c>
    </row>
    <row r="55" spans="1:1" x14ac:dyDescent="0.25">
      <c r="A55">
        <v>26</v>
      </c>
    </row>
    <row r="56" spans="1:1" x14ac:dyDescent="0.25">
      <c r="A56">
        <v>27</v>
      </c>
    </row>
    <row r="57" spans="1:1" x14ac:dyDescent="0.25">
      <c r="A57">
        <v>28</v>
      </c>
    </row>
    <row r="58" spans="1:1" x14ac:dyDescent="0.25">
      <c r="A58">
        <v>29</v>
      </c>
    </row>
    <row r="59" spans="1:1" x14ac:dyDescent="0.25">
      <c r="A59">
        <v>30</v>
      </c>
    </row>
    <row r="60" spans="1:1" x14ac:dyDescent="0.25">
      <c r="A60">
        <v>31</v>
      </c>
    </row>
    <row r="61" spans="1:1" x14ac:dyDescent="0.25">
      <c r="A61">
        <v>32</v>
      </c>
    </row>
    <row r="62" spans="1:1" x14ac:dyDescent="0.25">
      <c r="A62">
        <v>33</v>
      </c>
    </row>
    <row r="63" spans="1:1" x14ac:dyDescent="0.25">
      <c r="A63">
        <v>34</v>
      </c>
    </row>
    <row r="64" spans="1:1" x14ac:dyDescent="0.25">
      <c r="A64">
        <v>35</v>
      </c>
    </row>
    <row r="65" spans="1:1" x14ac:dyDescent="0.25">
      <c r="A65">
        <v>36</v>
      </c>
    </row>
    <row r="66" spans="1:1" x14ac:dyDescent="0.25">
      <c r="A66">
        <v>37</v>
      </c>
    </row>
    <row r="67" spans="1:1" x14ac:dyDescent="0.25">
      <c r="A67">
        <v>38</v>
      </c>
    </row>
    <row r="68" spans="1:1" x14ac:dyDescent="0.25">
      <c r="A68">
        <v>39</v>
      </c>
    </row>
    <row r="69" spans="1:1" x14ac:dyDescent="0.25">
      <c r="A69">
        <v>40</v>
      </c>
    </row>
    <row r="70" spans="1:1" x14ac:dyDescent="0.25">
      <c r="A70">
        <v>41</v>
      </c>
    </row>
    <row r="71" spans="1:1" x14ac:dyDescent="0.25">
      <c r="A71">
        <v>42</v>
      </c>
    </row>
    <row r="72" spans="1:1" x14ac:dyDescent="0.25">
      <c r="A72">
        <v>43</v>
      </c>
    </row>
    <row r="73" spans="1:1" x14ac:dyDescent="0.25">
      <c r="A73">
        <v>44</v>
      </c>
    </row>
    <row r="74" spans="1:1" x14ac:dyDescent="0.25">
      <c r="A74">
        <v>45</v>
      </c>
    </row>
    <row r="75" spans="1:1" x14ac:dyDescent="0.25">
      <c r="A75">
        <v>46</v>
      </c>
    </row>
    <row r="76" spans="1:1" x14ac:dyDescent="0.25">
      <c r="A76">
        <v>47</v>
      </c>
    </row>
    <row r="77" spans="1:1" x14ac:dyDescent="0.25">
      <c r="A77">
        <v>48</v>
      </c>
    </row>
    <row r="78" spans="1:1" x14ac:dyDescent="0.25">
      <c r="A78">
        <v>49</v>
      </c>
    </row>
    <row r="79" spans="1:1" x14ac:dyDescent="0.25">
      <c r="A79">
        <v>50</v>
      </c>
    </row>
    <row r="80" spans="1:1" x14ac:dyDescent="0.25">
      <c r="A80">
        <v>51</v>
      </c>
    </row>
    <row r="81" spans="1:1" x14ac:dyDescent="0.25">
      <c r="A81">
        <v>52</v>
      </c>
    </row>
    <row r="82" spans="1:1" x14ac:dyDescent="0.25">
      <c r="A82">
        <v>53</v>
      </c>
    </row>
    <row r="83" spans="1:1" x14ac:dyDescent="0.25">
      <c r="A83">
        <v>54</v>
      </c>
    </row>
    <row r="84" spans="1:1" x14ac:dyDescent="0.25">
      <c r="A84">
        <v>55</v>
      </c>
    </row>
    <row r="85" spans="1:1" x14ac:dyDescent="0.25">
      <c r="A85">
        <v>56</v>
      </c>
    </row>
    <row r="86" spans="1:1" x14ac:dyDescent="0.25">
      <c r="A86">
        <v>57</v>
      </c>
    </row>
    <row r="87" spans="1:1" x14ac:dyDescent="0.25">
      <c r="A87">
        <v>58</v>
      </c>
    </row>
    <row r="88" spans="1:1" x14ac:dyDescent="0.25">
      <c r="A88">
        <v>59</v>
      </c>
    </row>
    <row r="89" spans="1:1" x14ac:dyDescent="0.25">
      <c r="A89">
        <v>60</v>
      </c>
    </row>
    <row r="90" spans="1:1" x14ac:dyDescent="0.25">
      <c r="A90">
        <v>61</v>
      </c>
    </row>
    <row r="91" spans="1:1" x14ac:dyDescent="0.25">
      <c r="A91">
        <v>62</v>
      </c>
    </row>
    <row r="92" spans="1:1" x14ac:dyDescent="0.25">
      <c r="A92">
        <v>63</v>
      </c>
    </row>
    <row r="93" spans="1:1" x14ac:dyDescent="0.25">
      <c r="A93">
        <v>64</v>
      </c>
    </row>
    <row r="94" spans="1:1" x14ac:dyDescent="0.25">
      <c r="A94">
        <v>65</v>
      </c>
    </row>
    <row r="95" spans="1:1" x14ac:dyDescent="0.25">
      <c r="A95">
        <v>66</v>
      </c>
    </row>
    <row r="96" spans="1:1" x14ac:dyDescent="0.25">
      <c r="A96">
        <v>67</v>
      </c>
    </row>
    <row r="97" spans="1:1" x14ac:dyDescent="0.25">
      <c r="A97">
        <v>68</v>
      </c>
    </row>
    <row r="98" spans="1:1" x14ac:dyDescent="0.25">
      <c r="A98">
        <v>69</v>
      </c>
    </row>
    <row r="99" spans="1:1" x14ac:dyDescent="0.25">
      <c r="A99">
        <v>70</v>
      </c>
    </row>
    <row r="100" spans="1:1" x14ac:dyDescent="0.25">
      <c r="A100">
        <v>71</v>
      </c>
    </row>
    <row r="101" spans="1:1" x14ac:dyDescent="0.25">
      <c r="A101">
        <v>72</v>
      </c>
    </row>
    <row r="102" spans="1:1" x14ac:dyDescent="0.25">
      <c r="A102">
        <v>73</v>
      </c>
    </row>
    <row r="103" spans="1:1" x14ac:dyDescent="0.25">
      <c r="A103">
        <v>74</v>
      </c>
    </row>
    <row r="104" spans="1:1" x14ac:dyDescent="0.25">
      <c r="A104">
        <v>75</v>
      </c>
    </row>
    <row r="105" spans="1:1" x14ac:dyDescent="0.25">
      <c r="A105">
        <v>76</v>
      </c>
    </row>
    <row r="106" spans="1:1" x14ac:dyDescent="0.25">
      <c r="A106">
        <v>77</v>
      </c>
    </row>
    <row r="107" spans="1:1" x14ac:dyDescent="0.25">
      <c r="A107">
        <v>78</v>
      </c>
    </row>
    <row r="108" spans="1:1" x14ac:dyDescent="0.25">
      <c r="A108">
        <v>79</v>
      </c>
    </row>
    <row r="109" spans="1:1" x14ac:dyDescent="0.25">
      <c r="A109">
        <v>80</v>
      </c>
    </row>
    <row r="110" spans="1:1" x14ac:dyDescent="0.25">
      <c r="A110">
        <v>81</v>
      </c>
    </row>
    <row r="111" spans="1:1" x14ac:dyDescent="0.25">
      <c r="A111">
        <v>82</v>
      </c>
    </row>
    <row r="112" spans="1:1" x14ac:dyDescent="0.25">
      <c r="A112">
        <v>83</v>
      </c>
    </row>
    <row r="113" spans="1:1" x14ac:dyDescent="0.25">
      <c r="A113">
        <v>84</v>
      </c>
    </row>
    <row r="114" spans="1:1" x14ac:dyDescent="0.25">
      <c r="A114">
        <v>85</v>
      </c>
    </row>
    <row r="115" spans="1:1" x14ac:dyDescent="0.25">
      <c r="A115">
        <v>86</v>
      </c>
    </row>
    <row r="116" spans="1:1" x14ac:dyDescent="0.25">
      <c r="A116">
        <v>87</v>
      </c>
    </row>
    <row r="117" spans="1:1" x14ac:dyDescent="0.25">
      <c r="A117">
        <v>88</v>
      </c>
    </row>
    <row r="118" spans="1:1" x14ac:dyDescent="0.25">
      <c r="A118">
        <v>89</v>
      </c>
    </row>
    <row r="119" spans="1:1" x14ac:dyDescent="0.25">
      <c r="A119">
        <v>90</v>
      </c>
    </row>
    <row r="120" spans="1:1" x14ac:dyDescent="0.25">
      <c r="A120">
        <v>91</v>
      </c>
    </row>
    <row r="121" spans="1:1" x14ac:dyDescent="0.25">
      <c r="A121">
        <v>92</v>
      </c>
    </row>
    <row r="122" spans="1:1" x14ac:dyDescent="0.25">
      <c r="A122">
        <v>93</v>
      </c>
    </row>
    <row r="123" spans="1:1" x14ac:dyDescent="0.25">
      <c r="A123">
        <v>94</v>
      </c>
    </row>
    <row r="124" spans="1:1" x14ac:dyDescent="0.25">
      <c r="A124">
        <v>95</v>
      </c>
    </row>
    <row r="125" spans="1:1" x14ac:dyDescent="0.25">
      <c r="A125">
        <v>96</v>
      </c>
    </row>
    <row r="126" spans="1:1" x14ac:dyDescent="0.25">
      <c r="A126">
        <v>97</v>
      </c>
    </row>
    <row r="127" spans="1:1" x14ac:dyDescent="0.25">
      <c r="A127">
        <v>98</v>
      </c>
    </row>
    <row r="128" spans="1:1" x14ac:dyDescent="0.25">
      <c r="A128">
        <v>99</v>
      </c>
    </row>
    <row r="129" spans="1:1" x14ac:dyDescent="0.25">
      <c r="A129">
        <v>100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8C63B-33FF-4D20-871E-8F1733208E24}">
  <sheetPr codeName="Sheet4"/>
  <dimension ref="A1:J16"/>
  <sheetViews>
    <sheetView workbookViewId="0">
      <selection activeCell="A10" sqref="A10"/>
    </sheetView>
  </sheetViews>
  <sheetFormatPr defaultRowHeight="15" x14ac:dyDescent="0.25"/>
  <cols>
    <col min="1" max="1" width="10.42578125" customWidth="1"/>
  </cols>
  <sheetData>
    <row r="1" spans="1:10" x14ac:dyDescent="0.25">
      <c r="A1" t="str">
        <f>IF(duomenys!$F12&lt;&gt;"",duomenys!$A12*duomenys!F12/MAX(duomenys!$F12:$O12),"")</f>
        <v/>
      </c>
      <c r="B1" t="str">
        <f>IF(duomenys!$F12&lt;&gt;"",duomenys!$A12*duomenys!G12/MAX(duomenys!$F12:$O12),"")</f>
        <v/>
      </c>
      <c r="C1" t="str">
        <f>IF(duomenys!$F12&lt;&gt;"",duomenys!$A12*duomenys!H12/MAX(duomenys!$F12:$O12),"")</f>
        <v/>
      </c>
      <c r="D1" t="str">
        <f>IF(duomenys!$F12&lt;&gt;"",duomenys!$A12*duomenys!I12/MAX(duomenys!$F12:$O12),"")</f>
        <v/>
      </c>
      <c r="E1" t="str">
        <f>IF(duomenys!$F12&lt;&gt;"",duomenys!$A12*duomenys!J12/MAX(duomenys!$F12:$O12),"")</f>
        <v/>
      </c>
      <c r="F1" t="str">
        <f>IF(duomenys!$F12&lt;&gt;"",duomenys!$A12*duomenys!K12/MAX(duomenys!$F12:$O12),"")</f>
        <v/>
      </c>
      <c r="G1" t="str">
        <f>IF(duomenys!$F12&lt;&gt;"",duomenys!$A12*duomenys!L12/MAX(duomenys!$F12:$O12),"")</f>
        <v/>
      </c>
      <c r="H1" t="str">
        <f>IF(duomenys!$F12&lt;&gt;"",duomenys!$A12*duomenys!M12/MAX(duomenys!$F12:$O12),"")</f>
        <v/>
      </c>
      <c r="I1" t="str">
        <f>IF(duomenys!$F12&lt;&gt;"",duomenys!$A12*duomenys!N12/MAX(duomenys!$F12:$O12),"")</f>
        <v/>
      </c>
      <c r="J1" t="str">
        <f>IF(duomenys!$F12&lt;&gt;"",duomenys!$A12*duomenys!O12/MAX(duomenys!$F12:$O12),"")</f>
        <v/>
      </c>
    </row>
    <row r="2" spans="1:10" x14ac:dyDescent="0.25">
      <c r="A2" t="str">
        <f>IF(duomenys!$F14&lt;&gt;"",duomenys!$A14*duomenys!F14/MAX(duomenys!$F14:$O14),"")</f>
        <v/>
      </c>
      <c r="B2" t="str">
        <f>IF(duomenys!$F14&lt;&gt;"",duomenys!$A14*duomenys!G14/MAX(duomenys!$F14:$O14),"")</f>
        <v/>
      </c>
      <c r="C2" t="str">
        <f>IF(duomenys!$F14&lt;&gt;"",duomenys!$A14*duomenys!H14/MAX(duomenys!$F14:$O14),"")</f>
        <v/>
      </c>
      <c r="D2" t="str">
        <f>IF(duomenys!$F14&lt;&gt;"",duomenys!$A14*duomenys!I14/MAX(duomenys!$F14:$O14),"")</f>
        <v/>
      </c>
      <c r="E2" t="str">
        <f>IF(duomenys!$F14&lt;&gt;"",duomenys!$A14*duomenys!J14/MAX(duomenys!$F14:$O14),"")</f>
        <v/>
      </c>
      <c r="F2" t="str">
        <f>IF(duomenys!$F14&lt;&gt;"",duomenys!$A14*duomenys!K14/MAX(duomenys!$F14:$O14),"")</f>
        <v/>
      </c>
      <c r="G2" t="str">
        <f>IF(duomenys!$F14&lt;&gt;"",duomenys!$A14*duomenys!L14/MAX(duomenys!$F14:$O14),"")</f>
        <v/>
      </c>
      <c r="H2" t="str">
        <f>IF(duomenys!$F14&lt;&gt;"",duomenys!$A14*duomenys!M14/MAX(duomenys!$F14:$O14),"")</f>
        <v/>
      </c>
      <c r="I2" t="str">
        <f>IF(duomenys!$F14&lt;&gt;"",duomenys!$A14*duomenys!N14/MAX(duomenys!$F14:$O14),"")</f>
        <v/>
      </c>
      <c r="J2" t="str">
        <f>IF(duomenys!$F14&lt;&gt;"",duomenys!$A14*duomenys!O14/MAX(duomenys!$F14:$O14),"")</f>
        <v/>
      </c>
    </row>
    <row r="3" spans="1:10" x14ac:dyDescent="0.25">
      <c r="A3" t="str">
        <f>IF(duomenys!$F16&lt;&gt;"",duomenys!$A16*duomenys!F16/MAX(duomenys!$F16:$O16),"")</f>
        <v/>
      </c>
      <c r="B3" t="str">
        <f>IF(duomenys!$F16&lt;&gt;"",duomenys!$A16*duomenys!G16/MAX(duomenys!$F16:$O16),"")</f>
        <v/>
      </c>
      <c r="C3" t="str">
        <f>IF(duomenys!$F16&lt;&gt;"",duomenys!$A16*duomenys!H16/MAX(duomenys!$F16:$O16),"")</f>
        <v/>
      </c>
      <c r="D3" t="str">
        <f>IF(duomenys!$F16&lt;&gt;"",duomenys!$A16*duomenys!I16/MAX(duomenys!$F16:$O16),"")</f>
        <v/>
      </c>
      <c r="E3" t="str">
        <f>IF(duomenys!$F16&lt;&gt;"",duomenys!$A16*duomenys!J16/MAX(duomenys!$F16:$O16),"")</f>
        <v/>
      </c>
      <c r="F3" t="str">
        <f>IF(duomenys!$F16&lt;&gt;"",duomenys!$A16*duomenys!K16/MAX(duomenys!$F16:$O16),"")</f>
        <v/>
      </c>
      <c r="G3" t="str">
        <f>IF(duomenys!$F16&lt;&gt;"",duomenys!$A16*duomenys!L16/MAX(duomenys!$F16:$O16),"")</f>
        <v/>
      </c>
      <c r="H3" t="str">
        <f>IF(duomenys!$F16&lt;&gt;"",duomenys!$A16*duomenys!M16/MAX(duomenys!$F16:$O16),"")</f>
        <v/>
      </c>
      <c r="I3" t="str">
        <f>IF(duomenys!$F16&lt;&gt;"",duomenys!$A16*duomenys!N16/MAX(duomenys!$F16:$O16),"")</f>
        <v/>
      </c>
      <c r="J3" t="str">
        <f>IF(duomenys!$F16&lt;&gt;"",duomenys!$A16*duomenys!O16/MAX(duomenys!$F16:$O16),"")</f>
        <v/>
      </c>
    </row>
    <row r="4" spans="1:10" x14ac:dyDescent="0.25">
      <c r="A4" t="str">
        <f>IF(duomenys!$F18&lt;&gt;"",duomenys!$A18*duomenys!F18/MAX(duomenys!$F18:$O18),"")</f>
        <v/>
      </c>
      <c r="B4" t="str">
        <f>IF(duomenys!$F18&lt;&gt;"",duomenys!$A18*duomenys!G18/MAX(duomenys!$F18:$O18),"")</f>
        <v/>
      </c>
      <c r="C4" t="str">
        <f>IF(duomenys!$F18&lt;&gt;"",duomenys!$A18*duomenys!H18/MAX(duomenys!$F18:$O18),"")</f>
        <v/>
      </c>
      <c r="D4" t="str">
        <f>IF(duomenys!$F18&lt;&gt;"",duomenys!$A18*duomenys!I18/MAX(duomenys!$F18:$O18),"")</f>
        <v/>
      </c>
      <c r="E4" t="str">
        <f>IF(duomenys!$F18&lt;&gt;"",duomenys!$A18*duomenys!J18/MAX(duomenys!$F18:$O18),"")</f>
        <v/>
      </c>
      <c r="F4" t="str">
        <f>IF(duomenys!$F18&lt;&gt;"",duomenys!$A18*duomenys!K18/MAX(duomenys!$F18:$O18),"")</f>
        <v/>
      </c>
      <c r="G4" t="str">
        <f>IF(duomenys!$F18&lt;&gt;"",duomenys!$A18*duomenys!L18/MAX(duomenys!$F18:$O18),"")</f>
        <v/>
      </c>
      <c r="H4" t="str">
        <f>IF(duomenys!$F18&lt;&gt;"",duomenys!$A18*duomenys!M18/MAX(duomenys!$F18:$O18),"")</f>
        <v/>
      </c>
      <c r="I4" t="str">
        <f>IF(duomenys!$F18&lt;&gt;"",duomenys!$A18*duomenys!N18/MAX(duomenys!$F18:$O18),"")</f>
        <v/>
      </c>
      <c r="J4" t="str">
        <f>IF(duomenys!$F18&lt;&gt;"",duomenys!$A18*duomenys!O18/MAX(duomenys!$F18:$O18),"")</f>
        <v/>
      </c>
    </row>
    <row r="5" spans="1:10" x14ac:dyDescent="0.25">
      <c r="A5" t="str">
        <f>IF(duomenys!$F20&lt;&gt;"",duomenys!$A20*duomenys!F20/MAX(duomenys!$F20:$O20),"")</f>
        <v/>
      </c>
      <c r="B5" t="str">
        <f>IF(duomenys!$F20&lt;&gt;"",duomenys!$A20*duomenys!G20/MAX(duomenys!$F20:$O20),"")</f>
        <v/>
      </c>
      <c r="C5" t="str">
        <f>IF(duomenys!$F20&lt;&gt;"",duomenys!$A20*duomenys!H20/MAX(duomenys!$F20:$O20),"")</f>
        <v/>
      </c>
      <c r="D5" t="str">
        <f>IF(duomenys!$F20&lt;&gt;"",duomenys!$A20*duomenys!I20/MAX(duomenys!$F20:$O20),"")</f>
        <v/>
      </c>
      <c r="E5" t="str">
        <f>IF(duomenys!$F20&lt;&gt;"",duomenys!$A20*duomenys!J20/MAX(duomenys!$F20:$O20),"")</f>
        <v/>
      </c>
      <c r="F5" t="str">
        <f>IF(duomenys!$F20&lt;&gt;"",duomenys!$A20*duomenys!K20/MAX(duomenys!$F20:$O20),"")</f>
        <v/>
      </c>
      <c r="G5" t="str">
        <f>IF(duomenys!$F20&lt;&gt;"",duomenys!$A20*duomenys!L20/MAX(duomenys!$F20:$O20),"")</f>
        <v/>
      </c>
      <c r="H5" t="str">
        <f>IF(duomenys!$F20&lt;&gt;"",duomenys!$A20*duomenys!M20/MAX(duomenys!$F20:$O20),"")</f>
        <v/>
      </c>
      <c r="I5" t="str">
        <f>IF(duomenys!$F20&lt;&gt;"",duomenys!$A20*duomenys!N20/MAX(duomenys!$F20:$O20),"")</f>
        <v/>
      </c>
      <c r="J5" t="str">
        <f>IF(duomenys!$F20&lt;&gt;"",duomenys!$A20*duomenys!O20/MAX(duomenys!$F20:$O20),"")</f>
        <v/>
      </c>
    </row>
    <row r="6" spans="1:10" x14ac:dyDescent="0.25">
      <c r="A6" t="str">
        <f>IF(duomenys!$F22&lt;&gt;"",duomenys!$A22*duomenys!F22/MAX(duomenys!$F22:$O22),"")</f>
        <v/>
      </c>
      <c r="B6" t="str">
        <f>IF(duomenys!$F22&lt;&gt;"",duomenys!$A22*duomenys!G22/MAX(duomenys!$F22:$O22),"")</f>
        <v/>
      </c>
      <c r="C6" t="str">
        <f>IF(duomenys!$F22&lt;&gt;"",duomenys!$A22*duomenys!H22/MAX(duomenys!$F22:$O22),"")</f>
        <v/>
      </c>
      <c r="D6" t="str">
        <f>IF(duomenys!$F22&lt;&gt;"",duomenys!$A22*duomenys!I22/MAX(duomenys!$F22:$O22),"")</f>
        <v/>
      </c>
      <c r="E6" t="str">
        <f>IF(duomenys!$F22&lt;&gt;"",duomenys!$A22*duomenys!J22/MAX(duomenys!$F22:$O22),"")</f>
        <v/>
      </c>
      <c r="F6" t="str">
        <f>IF(duomenys!$F22&lt;&gt;"",duomenys!$A22*duomenys!K22/MAX(duomenys!$F22:$O22),"")</f>
        <v/>
      </c>
      <c r="G6" t="str">
        <f>IF(duomenys!$F22&lt;&gt;"",duomenys!$A22*duomenys!L22/MAX(duomenys!$F22:$O22),"")</f>
        <v/>
      </c>
      <c r="H6" t="str">
        <f>IF(duomenys!$F22&lt;&gt;"",duomenys!$A22*duomenys!M22/MAX(duomenys!$F22:$O22),"")</f>
        <v/>
      </c>
      <c r="I6" t="str">
        <f>IF(duomenys!$F22&lt;&gt;"",duomenys!$A22*duomenys!N22/MAX(duomenys!$F22:$O22),"")</f>
        <v/>
      </c>
      <c r="J6" t="str">
        <f>IF(duomenys!$F22&lt;&gt;"",duomenys!$A22*duomenys!O22/MAX(duomenys!$F22:$O22),"")</f>
        <v/>
      </c>
    </row>
    <row r="7" spans="1:10" x14ac:dyDescent="0.25">
      <c r="A7" t="str">
        <f>IF(duomenys!$F24&lt;&gt;"",duomenys!$A24*duomenys!F24/MAX(duomenys!$F24:$O24),"")</f>
        <v/>
      </c>
      <c r="B7" t="str">
        <f>IF(duomenys!$F24&lt;&gt;"",duomenys!$A24*duomenys!G24/MAX(duomenys!$F24:$O24),"")</f>
        <v/>
      </c>
      <c r="C7" t="str">
        <f>IF(duomenys!$F24&lt;&gt;"",duomenys!$A24*duomenys!H24/MAX(duomenys!$F24:$O24),"")</f>
        <v/>
      </c>
      <c r="D7" t="str">
        <f>IF(duomenys!$F24&lt;&gt;"",duomenys!$A24*duomenys!I24/MAX(duomenys!$F24:$O24),"")</f>
        <v/>
      </c>
      <c r="E7" t="str">
        <f>IF(duomenys!$F24&lt;&gt;"",duomenys!$A24*duomenys!J24/MAX(duomenys!$F24:$O24),"")</f>
        <v/>
      </c>
      <c r="F7" t="str">
        <f>IF(duomenys!$F24&lt;&gt;"",duomenys!$A24*duomenys!K24/MAX(duomenys!$F24:$O24),"")</f>
        <v/>
      </c>
      <c r="G7" t="str">
        <f>IF(duomenys!$F24&lt;&gt;"",duomenys!$A24*duomenys!L24/MAX(duomenys!$F24:$O24),"")</f>
        <v/>
      </c>
      <c r="H7" t="str">
        <f>IF(duomenys!$F24&lt;&gt;"",duomenys!$A24*duomenys!M24/MAX(duomenys!$F24:$O24),"")</f>
        <v/>
      </c>
      <c r="I7" t="str">
        <f>IF(duomenys!$F24&lt;&gt;"",duomenys!$A24*duomenys!N24/MAX(duomenys!$F24:$O24),"")</f>
        <v/>
      </c>
      <c r="J7" t="str">
        <f>IF(duomenys!$F24&lt;&gt;"",duomenys!$A24*duomenys!O24/MAX(duomenys!$F24:$O24),"")</f>
        <v/>
      </c>
    </row>
    <row r="8" spans="1:10" x14ac:dyDescent="0.25">
      <c r="A8" t="str">
        <f>IF(duomenys!$F26&lt;&gt;"",duomenys!$A26*duomenys!F26/MAX(duomenys!$F26:$O26),"")</f>
        <v/>
      </c>
      <c r="B8" t="str">
        <f>IF(duomenys!$F26&lt;&gt;"",duomenys!$A26*duomenys!G26/MAX(duomenys!$F26:$O26),"")</f>
        <v/>
      </c>
      <c r="C8" t="str">
        <f>IF(duomenys!$F26&lt;&gt;"",duomenys!$A26*duomenys!H26/MAX(duomenys!$F26:$O26),"")</f>
        <v/>
      </c>
      <c r="D8" t="str">
        <f>IF(duomenys!$F26&lt;&gt;"",duomenys!$A26*duomenys!I26/MAX(duomenys!$F26:$O26),"")</f>
        <v/>
      </c>
      <c r="E8" t="str">
        <f>IF(duomenys!$F26&lt;&gt;"",duomenys!$A26*duomenys!J26/MAX(duomenys!$F26:$O26),"")</f>
        <v/>
      </c>
      <c r="F8" t="str">
        <f>IF(duomenys!$F26&lt;&gt;"",duomenys!$A26*duomenys!K26/MAX(duomenys!$F26:$O26),"")</f>
        <v/>
      </c>
      <c r="G8" t="str">
        <f>IF(duomenys!$F26&lt;&gt;"",duomenys!$A26*duomenys!L26/MAX(duomenys!$F26:$O26),"")</f>
        <v/>
      </c>
      <c r="H8" t="str">
        <f>IF(duomenys!$F26&lt;&gt;"",duomenys!$A26*duomenys!M26/MAX(duomenys!$F26:$O26),"")</f>
        <v/>
      </c>
      <c r="I8" t="str">
        <f>IF(duomenys!$F26&lt;&gt;"",duomenys!$A26*duomenys!N26/MAX(duomenys!$F26:$O26),"")</f>
        <v/>
      </c>
      <c r="J8" t="str">
        <f>IF(duomenys!$F26&lt;&gt;"",duomenys!$A26*duomenys!O26/MAX(duomenys!$F26:$O26),"")</f>
        <v/>
      </c>
    </row>
    <row r="9" spans="1:10" x14ac:dyDescent="0.25">
      <c r="A9" t="str">
        <f>IF(duomenys!$F28&lt;&gt;"",duomenys!$A28*duomenys!F28/MAX(duomenys!$F28:$O28),"")</f>
        <v/>
      </c>
      <c r="B9" t="str">
        <f>IF(duomenys!$F28&lt;&gt;"",duomenys!$A28*duomenys!G28/MAX(duomenys!$F28:$O28),"")</f>
        <v/>
      </c>
      <c r="C9" t="str">
        <f>IF(duomenys!$F28&lt;&gt;"",duomenys!$A28*duomenys!H28/MAX(duomenys!$F28:$O28),"")</f>
        <v/>
      </c>
      <c r="D9" t="str">
        <f>IF(duomenys!$F28&lt;&gt;"",duomenys!$A28*duomenys!I28/MAX(duomenys!$F28:$O28),"")</f>
        <v/>
      </c>
      <c r="E9" t="str">
        <f>IF(duomenys!$F28&lt;&gt;"",duomenys!$A28*duomenys!J28/MAX(duomenys!$F28:$O28),"")</f>
        <v/>
      </c>
      <c r="F9" t="str">
        <f>IF(duomenys!$F28&lt;&gt;"",duomenys!$A28*duomenys!K28/MAX(duomenys!$F28:$O28),"")</f>
        <v/>
      </c>
      <c r="G9" t="str">
        <f>IF(duomenys!$F28&lt;&gt;"",duomenys!$A28*duomenys!L28/MAX(duomenys!$F28:$O28),"")</f>
        <v/>
      </c>
      <c r="H9" t="str">
        <f>IF(duomenys!$F28&lt;&gt;"",duomenys!$A28*duomenys!M28/MAX(duomenys!$F28:$O28),"")</f>
        <v/>
      </c>
      <c r="I9" t="str">
        <f>IF(duomenys!$F28&lt;&gt;"",duomenys!$A28*duomenys!N28/MAX(duomenys!$F28:$O28),"")</f>
        <v/>
      </c>
      <c r="J9" t="str">
        <f>IF(duomenys!$F28&lt;&gt;"",duomenys!$A28*duomenys!O28/MAX(duomenys!$F28:$O28),"")</f>
        <v/>
      </c>
    </row>
    <row r="10" spans="1:10" x14ac:dyDescent="0.25">
      <c r="A10" t="str">
        <f>IF(duomenys!$F30&lt;&gt;"",duomenys!$A30*duomenys!F30/MAX(duomenys!$F30:$O30),"")</f>
        <v/>
      </c>
      <c r="B10" t="str">
        <f>IF(duomenys!$F30&lt;&gt;"",duomenys!$A30*duomenys!G30/MAX(duomenys!$F30:$O30),"")</f>
        <v/>
      </c>
      <c r="C10" t="str">
        <f>IF(duomenys!$F30&lt;&gt;"",duomenys!$A30*duomenys!H30/MAX(duomenys!$F30:$O30),"")</f>
        <v/>
      </c>
      <c r="D10" t="str">
        <f>IF(duomenys!$F30&lt;&gt;"",duomenys!$A30*duomenys!I30/MAX(duomenys!$F30:$O30),"")</f>
        <v/>
      </c>
      <c r="E10" t="str">
        <f>IF(duomenys!$F30&lt;&gt;"",duomenys!$A30*duomenys!J30/MAX(duomenys!$F30:$O30),"")</f>
        <v/>
      </c>
      <c r="F10" t="str">
        <f>IF(duomenys!$F30&lt;&gt;"",duomenys!$A30*duomenys!K30/MAX(duomenys!$F30:$O30),"")</f>
        <v/>
      </c>
      <c r="G10" t="str">
        <f>IF(duomenys!$F30&lt;&gt;"",duomenys!$A30*duomenys!L30/MAX(duomenys!$F30:$O30),"")</f>
        <v/>
      </c>
      <c r="H10" t="str">
        <f>IF(duomenys!$F30&lt;&gt;"",duomenys!$A30*duomenys!M30/MAX(duomenys!$F30:$O30),"")</f>
        <v/>
      </c>
      <c r="I10" t="str">
        <f>IF(duomenys!$F30&lt;&gt;"",duomenys!$A30*duomenys!N30/MAX(duomenys!$F30:$O30),"")</f>
        <v/>
      </c>
      <c r="J10" t="str">
        <f>IF(duomenys!$F30&lt;&gt;"",duomenys!$A30*duomenys!O30/MAX(duomenys!$F30:$O30),"")</f>
        <v/>
      </c>
    </row>
    <row r="16" spans="1:10" x14ac:dyDescent="0.25">
      <c r="A16" t="str">
        <f ca="1">IF(duomenys!$F31&lt;&gt;"",duomenys!$A31*duomenys!F31/MAX(duomenys!$F31:$O31),"")</f>
        <v/>
      </c>
      <c r="B16" t="str">
        <f ca="1">IF(duomenys!$F31&lt;&gt;"",duomenys!$A31*duomenys!G31/MAX(duomenys!$F31:$O31),"")</f>
        <v/>
      </c>
      <c r="C16" t="str">
        <f ca="1">IF(duomenys!$F31&lt;&gt;"",duomenys!$A31*duomenys!H31/MAX(duomenys!$F31:$O31),"")</f>
        <v/>
      </c>
      <c r="D16" t="str">
        <f ca="1">IF(duomenys!$F31&lt;&gt;"",duomenys!$A31*duomenys!I31/MAX(duomenys!$F31:$O31),"")</f>
        <v/>
      </c>
      <c r="E16" t="str">
        <f ca="1">IF(duomenys!$F31&lt;&gt;"",duomenys!$A31*duomenys!J31/MAX(duomenys!$F31:$O31),"")</f>
        <v/>
      </c>
      <c r="F16" t="str">
        <f ca="1">IF(duomenys!$F31&lt;&gt;"",duomenys!$A31*duomenys!K31/MAX(duomenys!$F31:$O31),"")</f>
        <v/>
      </c>
      <c r="G16" t="str">
        <f ca="1">IF(duomenys!$F31&lt;&gt;"",duomenys!$A31*duomenys!L31/MAX(duomenys!$F31:$O31),"")</f>
        <v/>
      </c>
      <c r="H16" t="str">
        <f ca="1">IF(duomenys!$F31&lt;&gt;"",duomenys!$A31*duomenys!M31/MAX(duomenys!$F31:$O31),"")</f>
        <v/>
      </c>
      <c r="I16" t="str">
        <f ca="1">IF(duomenys!$F31&lt;&gt;"",duomenys!$A31*duomenys!N31/MAX(duomenys!$F31:$O31),"")</f>
        <v/>
      </c>
      <c r="J16" t="str">
        <f ca="1">IF(duomenys!$F31&lt;&gt;"",duomenys!$A31*duomenys!O31/MAX(duomenys!$F31:$O31),"")</f>
        <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40A01-92F3-458C-B0CD-7A78038B9CAC}">
  <sheetPr codeName="Sheet5"/>
  <dimension ref="A1:J10"/>
  <sheetViews>
    <sheetView workbookViewId="0"/>
  </sheetViews>
  <sheetFormatPr defaultRowHeight="15" x14ac:dyDescent="0.25"/>
  <sheetData>
    <row r="1" spans="1:10" x14ac:dyDescent="0.25">
      <c r="A1" t="str">
        <f>IF(duomenys!$F12&lt;&gt;"",MIN(duomenys!$F12:$O12)/duomenys!F12*duomenys!$A12,"")</f>
        <v/>
      </c>
      <c r="B1" t="str">
        <f>IF(duomenys!$F12&lt;&gt;"",MIN(duomenys!$F12:$O12)/duomenys!G12*duomenys!$A12,"")</f>
        <v/>
      </c>
      <c r="C1" t="str">
        <f>IF(duomenys!$F12&lt;&gt;"",MIN(duomenys!$F12:$O12)/duomenys!H12*duomenys!$A12,"")</f>
        <v/>
      </c>
      <c r="D1" t="str">
        <f>IF(duomenys!$F12&lt;&gt;"",MIN(duomenys!$F12:$O12)/duomenys!I12*duomenys!$A12,"")</f>
        <v/>
      </c>
      <c r="E1" t="str">
        <f>IF(duomenys!$F12&lt;&gt;"",MIN(duomenys!$F12:$O12)/duomenys!J12*duomenys!$A12,"")</f>
        <v/>
      </c>
      <c r="F1" t="str">
        <f>IF(duomenys!$F12&lt;&gt;"",MIN(duomenys!$F12:$O12)/duomenys!K12*duomenys!$A12,"")</f>
        <v/>
      </c>
      <c r="G1" t="str">
        <f>IF(duomenys!$F12&lt;&gt;"",MIN(duomenys!$F12:$O12)/duomenys!L12*duomenys!$A12,"")</f>
        <v/>
      </c>
      <c r="H1" t="str">
        <f>IF(duomenys!$F12&lt;&gt;"",MIN(duomenys!$F12:$O12)/duomenys!M12*duomenys!$A12,"")</f>
        <v/>
      </c>
      <c r="I1" t="str">
        <f>IF(duomenys!$F12&lt;&gt;"",MIN(duomenys!$F12:$O12)/duomenys!N12*duomenys!$A12,"")</f>
        <v/>
      </c>
      <c r="J1" t="str">
        <f>IF(duomenys!$F12&lt;&gt;"",MIN(duomenys!$F12:$O12)/duomenys!O12*duomenys!$A12,"")</f>
        <v/>
      </c>
    </row>
    <row r="2" spans="1:10" x14ac:dyDescent="0.25">
      <c r="A2" t="str">
        <f>IF(duomenys!$F14&lt;&gt;"",MIN(duomenys!$F14:$O14)/duomenys!F14*duomenys!$A14,"")</f>
        <v/>
      </c>
      <c r="B2" t="str">
        <f>IF(duomenys!$F14&lt;&gt;"",MIN(duomenys!$F14:$O14)/duomenys!G14*duomenys!$A14,"")</f>
        <v/>
      </c>
      <c r="C2" t="str">
        <f>IF(duomenys!$F14&lt;&gt;"",MIN(duomenys!$F14:$O14)/duomenys!H14*duomenys!$A14,"")</f>
        <v/>
      </c>
      <c r="D2" t="str">
        <f>IF(duomenys!$F14&lt;&gt;"",MIN(duomenys!$F14:$O14)/duomenys!I14*duomenys!$A14,"")</f>
        <v/>
      </c>
      <c r="E2" t="str">
        <f>IF(duomenys!$F14&lt;&gt;"",MIN(duomenys!$F14:$O14)/duomenys!J14*duomenys!$A14,"")</f>
        <v/>
      </c>
      <c r="F2" t="str">
        <f>IF(duomenys!$F14&lt;&gt;"",MIN(duomenys!$F14:$O14)/duomenys!K14*duomenys!$A14,"")</f>
        <v/>
      </c>
      <c r="G2" t="str">
        <f>IF(duomenys!$F14&lt;&gt;"",MIN(duomenys!$F14:$O14)/duomenys!L14*duomenys!$A14,"")</f>
        <v/>
      </c>
      <c r="H2" t="str">
        <f>IF(duomenys!$F14&lt;&gt;"",MIN(duomenys!$F14:$O14)/duomenys!M14*duomenys!$A14,"")</f>
        <v/>
      </c>
      <c r="I2" t="str">
        <f>IF(duomenys!$F14&lt;&gt;"",MIN(duomenys!$F14:$O14)/duomenys!N14*duomenys!$A14,"")</f>
        <v/>
      </c>
      <c r="J2" t="str">
        <f>IF(duomenys!$F14&lt;&gt;"",MIN(duomenys!$F14:$O14)/duomenys!O14*duomenys!$A14,"")</f>
        <v/>
      </c>
    </row>
    <row r="3" spans="1:10" x14ac:dyDescent="0.25">
      <c r="A3" t="str">
        <f>IF(duomenys!$F16&lt;&gt;"",MIN(duomenys!$F16:$O16)/duomenys!F16*duomenys!$A16,"")</f>
        <v/>
      </c>
      <c r="B3" t="str">
        <f>IF(duomenys!$F16&lt;&gt;"",MIN(duomenys!$F16:$O16)/duomenys!G16*duomenys!$A16,"")</f>
        <v/>
      </c>
      <c r="C3" t="str">
        <f>IF(duomenys!$F16&lt;&gt;"",MIN(duomenys!$F16:$O16)/duomenys!H16*duomenys!$A16,"")</f>
        <v/>
      </c>
      <c r="D3" t="str">
        <f>IF(duomenys!$F16&lt;&gt;"",MIN(duomenys!$F16:$O16)/duomenys!I16*duomenys!$A16,"")</f>
        <v/>
      </c>
      <c r="E3" t="str">
        <f>IF(duomenys!$F16&lt;&gt;"",MIN(duomenys!$F16:$O16)/duomenys!J16*duomenys!$A16,"")</f>
        <v/>
      </c>
      <c r="F3" t="str">
        <f>IF(duomenys!$F16&lt;&gt;"",MIN(duomenys!$F16:$O16)/duomenys!K16*duomenys!$A16,"")</f>
        <v/>
      </c>
      <c r="G3" t="str">
        <f>IF(duomenys!$F16&lt;&gt;"",MIN(duomenys!$F16:$O16)/duomenys!L16*duomenys!$A16,"")</f>
        <v/>
      </c>
      <c r="H3" t="str">
        <f>IF(duomenys!$F16&lt;&gt;"",MIN(duomenys!$F16:$O16)/duomenys!M16*duomenys!$A16,"")</f>
        <v/>
      </c>
      <c r="I3" t="str">
        <f>IF(duomenys!$F16&lt;&gt;"",MIN(duomenys!$F16:$O16)/duomenys!N16*duomenys!$A16,"")</f>
        <v/>
      </c>
      <c r="J3" t="str">
        <f>IF(duomenys!$F16&lt;&gt;"",MIN(duomenys!$F16:$O16)/duomenys!O16*duomenys!$A16,"")</f>
        <v/>
      </c>
    </row>
    <row r="4" spans="1:10" x14ac:dyDescent="0.25">
      <c r="A4" t="str">
        <f>IF(duomenys!$F18&lt;&gt;"",MIN(duomenys!$F18:$O18)/duomenys!F18*duomenys!$A18,"")</f>
        <v/>
      </c>
      <c r="B4" t="str">
        <f>IF(duomenys!$F18&lt;&gt;"",MIN(duomenys!$F18:$O18)/duomenys!G18*duomenys!$A18,"")</f>
        <v/>
      </c>
      <c r="C4" t="str">
        <f>IF(duomenys!$F18&lt;&gt;"",MIN(duomenys!$F18:$O18)/duomenys!H18*duomenys!$A18,"")</f>
        <v/>
      </c>
      <c r="D4" t="str">
        <f>IF(duomenys!$F18&lt;&gt;"",MIN(duomenys!$F18:$O18)/duomenys!I18*duomenys!$A18,"")</f>
        <v/>
      </c>
      <c r="E4" t="str">
        <f>IF(duomenys!$F18&lt;&gt;"",MIN(duomenys!$F18:$O18)/duomenys!J18*duomenys!$A18,"")</f>
        <v/>
      </c>
      <c r="F4" t="str">
        <f>IF(duomenys!$F18&lt;&gt;"",MIN(duomenys!$F18:$O18)/duomenys!K18*duomenys!$A18,"")</f>
        <v/>
      </c>
      <c r="G4" t="str">
        <f>IF(duomenys!$F18&lt;&gt;"",MIN(duomenys!$F18:$O18)/duomenys!L18*duomenys!$A18,"")</f>
        <v/>
      </c>
      <c r="H4" t="str">
        <f>IF(duomenys!$F18&lt;&gt;"",MIN(duomenys!$F18:$O18)/duomenys!M18*duomenys!$A18,"")</f>
        <v/>
      </c>
      <c r="I4" t="str">
        <f>IF(duomenys!$F18&lt;&gt;"",MIN(duomenys!$F18:$O18)/duomenys!N18*duomenys!$A18,"")</f>
        <v/>
      </c>
      <c r="J4" t="str">
        <f>IF(duomenys!$F18&lt;&gt;"",MIN(duomenys!$F18:$O18)/duomenys!O18*duomenys!$A18,"")</f>
        <v/>
      </c>
    </row>
    <row r="5" spans="1:10" x14ac:dyDescent="0.25">
      <c r="A5" t="str">
        <f>IF(duomenys!$F20&lt;&gt;"",MIN(duomenys!$F20:$O20)/duomenys!F20*duomenys!$A20,"")</f>
        <v/>
      </c>
      <c r="B5" t="str">
        <f>IF(duomenys!$F20&lt;&gt;"",MIN(duomenys!$F20:$O20)/duomenys!G20*duomenys!$A20,"")</f>
        <v/>
      </c>
      <c r="C5" t="str">
        <f>IF(duomenys!$F20&lt;&gt;"",MIN(duomenys!$F20:$O20)/duomenys!H20*duomenys!$A20,"")</f>
        <v/>
      </c>
      <c r="D5" t="str">
        <f>IF(duomenys!$F20&lt;&gt;"",MIN(duomenys!$F20:$O20)/duomenys!I20*duomenys!$A20,"")</f>
        <v/>
      </c>
      <c r="E5" t="str">
        <f>IF(duomenys!$F20&lt;&gt;"",MIN(duomenys!$F20:$O20)/duomenys!J20*duomenys!$A20,"")</f>
        <v/>
      </c>
      <c r="F5" t="str">
        <f>IF(duomenys!$F20&lt;&gt;"",MIN(duomenys!$F20:$O20)/duomenys!K20*duomenys!$A20,"")</f>
        <v/>
      </c>
      <c r="G5" t="str">
        <f>IF(duomenys!$F20&lt;&gt;"",MIN(duomenys!$F20:$O20)/duomenys!L20*duomenys!$A20,"")</f>
        <v/>
      </c>
      <c r="H5" t="str">
        <f>IF(duomenys!$F20&lt;&gt;"",MIN(duomenys!$F20:$O20)/duomenys!M20*duomenys!$A20,"")</f>
        <v/>
      </c>
      <c r="I5" t="str">
        <f>IF(duomenys!$F20&lt;&gt;"",MIN(duomenys!$F20:$O20)/duomenys!N20*duomenys!$A20,"")</f>
        <v/>
      </c>
      <c r="J5" t="str">
        <f>IF(duomenys!$F20&lt;&gt;"",MIN(duomenys!$F20:$O20)/duomenys!O20*duomenys!$A20,"")</f>
        <v/>
      </c>
    </row>
    <row r="6" spans="1:10" x14ac:dyDescent="0.25">
      <c r="A6" t="str">
        <f>IF(duomenys!$F22&lt;&gt;"",MIN(duomenys!$F22:$O22)/duomenys!F22*duomenys!$A22,"")</f>
        <v/>
      </c>
      <c r="B6" t="str">
        <f>IF(duomenys!$F22&lt;&gt;"",MIN(duomenys!$F22:$O22)/duomenys!G22*duomenys!$A22,"")</f>
        <v/>
      </c>
      <c r="C6" t="str">
        <f>IF(duomenys!$F22&lt;&gt;"",MIN(duomenys!$F22:$O22)/duomenys!H22*duomenys!$A22,"")</f>
        <v/>
      </c>
      <c r="D6" t="str">
        <f>IF(duomenys!$F22&lt;&gt;"",MIN(duomenys!$F22:$O22)/duomenys!I22*duomenys!$A22,"")</f>
        <v/>
      </c>
      <c r="E6" t="str">
        <f>IF(duomenys!$F22&lt;&gt;"",MIN(duomenys!$F22:$O22)/duomenys!J22*duomenys!$A22,"")</f>
        <v/>
      </c>
      <c r="F6" t="str">
        <f>IF(duomenys!$F22&lt;&gt;"",MIN(duomenys!$F22:$O22)/duomenys!K22*duomenys!$A22,"")</f>
        <v/>
      </c>
      <c r="G6" t="str">
        <f>IF(duomenys!$F22&lt;&gt;"",MIN(duomenys!$F22:$O22)/duomenys!L22*duomenys!$A22,"")</f>
        <v/>
      </c>
      <c r="H6" t="str">
        <f>IF(duomenys!$F22&lt;&gt;"",MIN(duomenys!$F22:$O22)/duomenys!M22*duomenys!$A22,"")</f>
        <v/>
      </c>
      <c r="I6" t="str">
        <f>IF(duomenys!$F22&lt;&gt;"",MIN(duomenys!$F22:$O22)/duomenys!N22*duomenys!$A22,"")</f>
        <v/>
      </c>
      <c r="J6" t="str">
        <f>IF(duomenys!$F22&lt;&gt;"",MIN(duomenys!$F22:$O22)/duomenys!O22*duomenys!$A22,"")</f>
        <v/>
      </c>
    </row>
    <row r="7" spans="1:10" x14ac:dyDescent="0.25">
      <c r="A7" t="str">
        <f>IF(duomenys!$F24&lt;&gt;"",MIN(duomenys!$F24:$O24)/duomenys!F24*duomenys!$A24,"")</f>
        <v/>
      </c>
      <c r="B7" t="str">
        <f>IF(duomenys!$F24&lt;&gt;"",MIN(duomenys!$F24:$O24)/duomenys!G24*duomenys!$A24,"")</f>
        <v/>
      </c>
      <c r="C7" t="str">
        <f>IF(duomenys!$F24&lt;&gt;"",MIN(duomenys!$F24:$O24)/duomenys!H24*duomenys!$A24,"")</f>
        <v/>
      </c>
      <c r="D7" t="str">
        <f>IF(duomenys!$F24&lt;&gt;"",MIN(duomenys!$F24:$O24)/duomenys!I24*duomenys!$A24,"")</f>
        <v/>
      </c>
      <c r="E7" t="str">
        <f>IF(duomenys!$F24&lt;&gt;"",MIN(duomenys!$F24:$O24)/duomenys!J24*duomenys!$A24,"")</f>
        <v/>
      </c>
      <c r="F7" t="str">
        <f>IF(duomenys!$F24&lt;&gt;"",MIN(duomenys!$F24:$O24)/duomenys!K24*duomenys!$A24,"")</f>
        <v/>
      </c>
      <c r="G7" t="str">
        <f>IF(duomenys!$F24&lt;&gt;"",MIN(duomenys!$F24:$O24)/duomenys!L24*duomenys!$A24,"")</f>
        <v/>
      </c>
      <c r="H7" t="str">
        <f>IF(duomenys!$F24&lt;&gt;"",MIN(duomenys!$F24:$O24)/duomenys!M24*duomenys!$A24,"")</f>
        <v/>
      </c>
      <c r="I7" t="str">
        <f>IF(duomenys!$F24&lt;&gt;"",MIN(duomenys!$F24:$O24)/duomenys!N24*duomenys!$A24,"")</f>
        <v/>
      </c>
      <c r="J7" t="str">
        <f>IF(duomenys!$F24&lt;&gt;"",MIN(duomenys!$F24:$O24)/duomenys!O24*duomenys!$A24,"")</f>
        <v/>
      </c>
    </row>
    <row r="8" spans="1:10" x14ac:dyDescent="0.25">
      <c r="A8" t="str">
        <f>IF(duomenys!$F26&lt;&gt;"",MIN(duomenys!$F26:$O26)/duomenys!F26*duomenys!$A26,"")</f>
        <v/>
      </c>
      <c r="B8" t="str">
        <f>IF(duomenys!$F26&lt;&gt;"",MIN(duomenys!$F26:$O26)/duomenys!G26*duomenys!$A26,"")</f>
        <v/>
      </c>
      <c r="C8" t="str">
        <f>IF(duomenys!$F26&lt;&gt;"",MIN(duomenys!$F26:$O26)/duomenys!H26*duomenys!$A26,"")</f>
        <v/>
      </c>
      <c r="D8" t="str">
        <f>IF(duomenys!$F26&lt;&gt;"",MIN(duomenys!$F26:$O26)/duomenys!I26*duomenys!$A26,"")</f>
        <v/>
      </c>
      <c r="E8" t="str">
        <f>IF(duomenys!$F26&lt;&gt;"",MIN(duomenys!$F26:$O26)/duomenys!J26*duomenys!$A26,"")</f>
        <v/>
      </c>
      <c r="F8" t="str">
        <f>IF(duomenys!$F26&lt;&gt;"",MIN(duomenys!$F26:$O26)/duomenys!K26*duomenys!$A26,"")</f>
        <v/>
      </c>
      <c r="G8" t="str">
        <f>IF(duomenys!$F26&lt;&gt;"",MIN(duomenys!$F26:$O26)/duomenys!L26*duomenys!$A26,"")</f>
        <v/>
      </c>
      <c r="H8" t="str">
        <f>IF(duomenys!$F26&lt;&gt;"",MIN(duomenys!$F26:$O26)/duomenys!M26*duomenys!$A26,"")</f>
        <v/>
      </c>
      <c r="I8" t="str">
        <f>IF(duomenys!$F26&lt;&gt;"",MIN(duomenys!$F26:$O26)/duomenys!N26*duomenys!$A26,"")</f>
        <v/>
      </c>
      <c r="J8" t="str">
        <f>IF(duomenys!$F26&lt;&gt;"",MIN(duomenys!$F26:$O26)/duomenys!O26*duomenys!$A26,"")</f>
        <v/>
      </c>
    </row>
    <row r="9" spans="1:10" x14ac:dyDescent="0.25">
      <c r="A9" t="str">
        <f>IF(duomenys!$F28&lt;&gt;"",MIN(duomenys!$F28:$O28)/duomenys!F28*duomenys!$A28,"")</f>
        <v/>
      </c>
      <c r="B9" t="str">
        <f>IF(duomenys!$F28&lt;&gt;"",MIN(duomenys!$F28:$O28)/duomenys!G28*duomenys!$A28,"")</f>
        <v/>
      </c>
      <c r="C9" t="str">
        <f>IF(duomenys!$F28&lt;&gt;"",MIN(duomenys!$F28:$O28)/duomenys!H28*duomenys!$A28,"")</f>
        <v/>
      </c>
      <c r="D9" t="str">
        <f>IF(duomenys!$F28&lt;&gt;"",MIN(duomenys!$F28:$O28)/duomenys!I28*duomenys!$A28,"")</f>
        <v/>
      </c>
      <c r="E9" t="str">
        <f>IF(duomenys!$F28&lt;&gt;"",MIN(duomenys!$F28:$O28)/duomenys!J28*duomenys!$A28,"")</f>
        <v/>
      </c>
      <c r="F9" t="str">
        <f>IF(duomenys!$F28&lt;&gt;"",MIN(duomenys!$F28:$O28)/duomenys!K28*duomenys!$A28,"")</f>
        <v/>
      </c>
      <c r="G9" t="str">
        <f>IF(duomenys!$F28&lt;&gt;"",MIN(duomenys!$F28:$O28)/duomenys!L28*duomenys!$A28,"")</f>
        <v/>
      </c>
      <c r="H9" t="str">
        <f>IF(duomenys!$F28&lt;&gt;"",MIN(duomenys!$F28:$O28)/duomenys!M28*duomenys!$A28,"")</f>
        <v/>
      </c>
      <c r="I9" t="str">
        <f>IF(duomenys!$F28&lt;&gt;"",MIN(duomenys!$F28:$O28)/duomenys!N28*duomenys!$A28,"")</f>
        <v/>
      </c>
      <c r="J9" t="str">
        <f>IF(duomenys!$F28&lt;&gt;"",MIN(duomenys!$F28:$O28)/duomenys!O28*duomenys!$A28,"")</f>
        <v/>
      </c>
    </row>
    <row r="10" spans="1:10" x14ac:dyDescent="0.25">
      <c r="A10" t="str">
        <f>IF(duomenys!$F30&lt;&gt;"",MIN(duomenys!$F30:$O30)/duomenys!F30*duomenys!$A30,"")</f>
        <v/>
      </c>
      <c r="B10" t="str">
        <f>IF(duomenys!$F30&lt;&gt;"",MIN(duomenys!$F30:$O30)/duomenys!G30*duomenys!$A30,"")</f>
        <v/>
      </c>
      <c r="C10" t="str">
        <f>IF(duomenys!$F30&lt;&gt;"",MIN(duomenys!$F30:$O30)/duomenys!H30*duomenys!$A30,"")</f>
        <v/>
      </c>
      <c r="D10" t="str">
        <f>IF(duomenys!$F30&lt;&gt;"",MIN(duomenys!$F30:$O30)/duomenys!I30*duomenys!$A30,"")</f>
        <v/>
      </c>
      <c r="E10" t="str">
        <f>IF(duomenys!$F30&lt;&gt;"",MIN(duomenys!$F30:$O30)/duomenys!J30*duomenys!$A30,"")</f>
        <v/>
      </c>
      <c r="F10" t="str">
        <f>IF(duomenys!$F30&lt;&gt;"",MIN(duomenys!$F30:$O30)/duomenys!K30*duomenys!$A30,"")</f>
        <v/>
      </c>
      <c r="G10" t="str">
        <f>IF(duomenys!$F30&lt;&gt;"",MIN(duomenys!$F30:$O30)/duomenys!L30*duomenys!$A30,"")</f>
        <v/>
      </c>
      <c r="H10" t="str">
        <f>IF(duomenys!$F30&lt;&gt;"",MIN(duomenys!$F30:$O30)/duomenys!M30*duomenys!$A30,"")</f>
        <v/>
      </c>
      <c r="I10" t="str">
        <f>IF(duomenys!$F30&lt;&gt;"",MIN(duomenys!$F30:$O30)/duomenys!N30*duomenys!$A30,"")</f>
        <v/>
      </c>
      <c r="J10" t="str">
        <f>IF(duomenys!$F30&lt;&gt;"",MIN(duomenys!$F30:$O30)/duomenys!O30*duomenys!$A30,"")</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a 8 4 9 c a b b - 8 5 a 9 - 4 2 2 9 - a a f 5 - 4 5 9 e 9 3 3 6 4 d 8 6 "   x m l n s = " h t t p : / / s c h e m a s . m i c r o s o f t . c o m / D a t a M a s h u p " > A A A A A O 4 D A A B Q S w M E F A A C A A g A A Y W I W R P e P B G j A A A A 9 g A A A B I A H A B D b 2 5 m a W c v U G F j a 2 F n Z S 5 4 b W w g o h g A K K A U A A A A A A A A A A A A A A A A A A A A A A A A A A A A h Y + 9 D o I w G E V f h X S n P 7 A Q 8 l E G V 0 h M N M a 1 K R U a o B h a L O / m 4 C P 5 C m I U d X O 8 5 5 7 h 3 v v 1 B v n c d 8 F F j V Y P J k M M U x Q o I 4 d K m z p D k z u F C c o 5 b I V s R a 2 C R T Y 2 n W 2 V o c a 5 c 0 q I 9 x 7 7 G A 9 j T S J K G T m W x U 4 2 q h f o I + v / c q i N d c J I h T g c X m N 4 h F m c Y J Z Q T I G s E E p t v k K 0 7 H 2 2 P x A 2 U + e m U f H O h c U e y B q B v D / w B 1 B L A w Q U A A I A C A A B h Y h 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Y W I W a A 1 r h v p A A A A T g I A A B M A H A B G b 3 J t d W x h c y 9 T Z W N 0 a W 9 u M S 5 t I K I Y A C i g F A A A A A A A A A A A A A A A A A A A A A A A A A A A A O 1 Q Q W r D M B C 8 G / w H o V x s M F J c a A 8 p O j l 9 Q Q w 9 l B 4 U e x M L Z E l o 1 y Y l 5 O + V s Q s 9 9 A n d y y 4 z 7 M 7 s I H R k v G O n t d e v e Z Z n O O g I P Z s h 4 s I p Z o H y j K U 6 + S l 2 k J A G Z 3 H 0 3 T S C o + I d z q L x j t K M B R + I A h 6 k n A M J G 2 d h S U 7 B e t 3 j A s l + 2 0 J 5 M R Z Q j k F u Q o J u x M v q 4 w j W j I Y g K q 5 4 x R p v p 9 G h q i v 2 5 j r f G 3 d V L 8 / 7 f f 1 Z V q u r H W 8 G 7 a 7 J c v s V g C d 7 r T 5 b E G 3 U D i 8 + j u u J h c R i f a G 6 3 / m K 1 k m C E s M I b v R 4 l H l m 3 J 9 n f 0 e z 4 z / h F E 8 l / 0 9 o S + g b U E s B A i 0 A F A A C A A g A A Y W I W R P e P B G j A A A A 9 g A A A B I A A A A A A A A A A A A A A A A A A A A A A E N v b m Z p Z y 9 Q Y W N r Y W d l L n h t b F B L A Q I t A B Q A A g A I A A G F i F k P y u m r p A A A A O k A A A A T A A A A A A A A A A A A A A A A A O 8 A A A B b Q 2 9 u d G V u d F 9 U e X B l c 1 0 u e G 1 s U E s B A i 0 A F A A C A A g A A Y W I W a A 1 r h v p A A A A T g I A A B M A A A A A A A A A A A A A A A A A 4 A E A A E Z v c m 1 1 b G F z L 1 N l Y 3 R p b 2 4 x L m 1 Q S w U G A A A A A A M A A w D C A A A A F g 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Q 8 A A A A A A A A n D 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d m V y c 2 l v b j 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Z l c n N p b 2 4 i I C 8 + P E V u d H J 5 I F R 5 c G U 9 I k Z p b G x l Z E N v b X B s Z X R l U m V z d W x 0 V G 9 X b 3 J r c 2 h l Z X Q i I F Z h b H V l P S J s M S I g L z 4 8 R W 5 0 c n k g V H l w Z T 0 i U X V l c n l J R C I g V m F s d W U 9 I n M x N D I 3 Y z Q x O C 0 z N 2 M 2 L T R l Y 2 M t O T R i Z C 1 j M W Z k O D Y w N T F i M z M i I C 8 + P E V u d H J 5 I F R 5 c G U 9 I k Z p b G x M Y X N 0 V X B k Y X R l Z C I g V m F s d W U 9 I m Q y M D I x L T A y L T E 5 V D E 0 O j M 5 O j Q y L j E w O D g x M T h a I i A v P j x F b n R y e S B U e X B l P S J G a W x s R X J y b 3 J D b 3 V u d C I g V m F s d W U 9 I m w w I i A v P j x F b n R y e S B U e X B l P S J G a W x s R X J y b 3 J D b 2 R l I i B W Y W x 1 Z T 0 i c 1 V u a 2 5 v d 2 4 i I C 8 + P E V u d H J 5 I F R 5 c G U 9 I k Z p b G x D b 2 x 1 b W 5 U e X B l c y I g V m F s d W U 9 I n N C Z z 0 9 I i A v P j x F b n R y e S B U e X B l P S J G a W x s Q 2 9 1 b n Q i I F Z h b H V l P S J s M S I g L z 4 8 R W 5 0 c n k g V H l w Z T 0 i R m l s b E N v b H V t b k 5 h b W V z I i B W Y W x 1 Z T 0 i c 1 s m c X V v d D t D b 2 x 1 b W 4 x J n F 1 b 3 Q 7 X S I g L z 4 8 R W 5 0 c n k g V H l w Z T 0 i Q W R k Z W R U b 0 R h d G F N b 2 R l b C I g V m F s d W U 9 I m w w 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2 Z X J z a W 9 u L 0 N o Y W 5 n Z W Q g V H l w Z S 5 7 Q 2 9 s d W 1 u M S w w f S Z x d W 9 0 O 1 0 s J n F 1 b 3 Q 7 Q 2 9 s d W 1 u Q 2 9 1 b n Q m c X V v d D s 6 M S w m c X V v d D t L Z X l D b 2 x 1 b W 5 O Y W 1 l c y Z x d W 9 0 O z p b X S w m c X V v d D t D b 2 x 1 b W 5 J Z G V u d G l 0 a W V z J n F 1 b 3 Q 7 O l s m c X V v d D t T Z W N 0 a W 9 u M S 9 2 Z X J z a W 9 u L 0 N o Y W 5 n Z W Q g V H l w Z S 5 7 Q 2 9 s d W 1 u M S w w f S Z x d W 9 0 O 1 0 s J n F 1 b 3 Q 7 U m V s Y X R p b 2 5 z a G l w S W 5 m b y Z x d W 9 0 O z p b X X 0 i I C 8 + P C 9 T d G F i b G V F b n R y a W V z P j w v S X R l b T 4 8 S X R l b T 4 8 S X R l b U x v Y 2 F 0 a W 9 u P j x J d G V t V H l w Z T 5 G b 3 J t d W x h P C 9 J d G V t V H l w Z T 4 8 S X R l b V B h d G g + U 2 V j d G l v b j E v d m V y c 2 l v b i 9 T b 3 V y Y 2 U 8 L 0 l 0 Z W 1 Q Y X R o P j w v S X R l b U x v Y 2 F 0 a W 9 u P j x T d G F i b G V F b n R y a W V z I C 8 + P C 9 J d G V t P j x J d G V t P j x J d G V t T G 9 j Y X R p b 2 4 + P E l 0 Z W 1 U e X B l P k Z v c m 1 1 b G E 8 L 0 l 0 Z W 1 U e X B l P j x J d G V t U G F 0 a D 5 T Z W N 0 a W 9 u M S 9 2 Z X J z a W 9 u L 0 N o Y W 5 n Z W Q l M j B U e X B l P C 9 J d G V t U G F 0 a D 4 8 L 0 l 0 Z W 1 M b 2 N h d G l v b j 4 8 U 3 R h Y m x l R W 5 0 c m l l c y A v P j w v S X R l b T 4 8 S X R l b T 4 8 S X R l b U x v Y 2 F 0 a W 9 u P j x J d G V t V H l w Z T 5 G b 3 J t d W x h P C 9 J d G V t V H l w Z T 4 8 S X R l b V B h d G g + U 2 V j d G l v b j E v d m V y c 2 l v b i U y M C g y K T w v S X R l b V B h d G g + P C 9 J d G V t T G 9 j Y X R p b 2 4 + P F N 0 Y W J s Z U V u d H J p Z X M + P E V u d H J 5 I F R 5 c G U 9 I k l z U H J p d m F 0 Z S I g V m F s d W U 9 I m w w I i A v P j x F b n R y e S B U e X B l P S J G a W x s R W 5 h Y m x l Z C I g V m F s d W U 9 I m w w I i A v P j x F b n R y e S B U e X B l P S J G a W x s T G F z d F V w Z G F 0 Z W Q i I F Z h b H V l P S J k M j A y N C 0 x M i 0 w O F Q x N D o 0 M D o w M i 4 z O T A 5 M D U 2 W i 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S Z W N v d m V y e V R h c m d l d E N v b H V t b i I g V m F s d W U 9 I m w x N i I g L z 4 8 R W 5 0 c n k g V H l w Z T 0 i U m V j b 3 Z l c n l U Y X J n Z X R S b 3 c i I F Z h b H V l P S J s N D E i I C 8 + P E V u d H J 5 I F R 5 c G U 9 I l F 1 Z X J 5 S U Q i I F Z h b H V l P S J z M W E 5 Y W N l Z m U t O T Y w N S 0 0 Y z M y L T k 3 Z T Y t Z G F l Z j M x M D A x Z D h i I i A v P j x F b n R y e S B U e X B l P S J S Z W N v d m V y e V R h c m d l d F N o Z W V 0 I i B W Y W x 1 Z T 0 i c 2 R 1 b 2 1 l b n l z I i A v P j x F b n R y e S B U e X B l P S J G a W x s R X J y b 3 J D b 3 V u d C I g V m F s d W U 9 I m w w I i A v P j x F b n R y e S B U e X B l P S J G a W x s R X J y b 3 J D b 2 R l I i B W Y W x 1 Z T 0 i c 1 V u a 2 5 v d 2 4 i I C 8 + P E V u d H J 5 I F R 5 c G U 9 I k Z p b G x U b 0 R h d G F N b 2 R l b E V u Y W J s Z W Q i I F Z h b H V l P S J s M C I g L z 4 8 R W 5 0 c n k g V H l w Z T 0 i R m l s b E 9 i a m V j d F R 5 c G U i I F Z h b H V l P S J z Q 2 9 u b m V j d G l v b k 9 u b H k i I C 8 + P E V u d H J 5 I F R 5 c G U 9 I k Z p b G x D b 2 x 1 b W 5 U e X B l c y I g V m F s d W U 9 I n N C Z z 0 9 I i A v P j x F b n R y e S B U e X B l P S J G a W x s Q 2 9 s d W 1 u T m F t Z X M i I F Z h b H V l P S J z W y Z x d W 9 0 O 0 N v b H V t b j E m c X V v d D t d I i A v P j x F b n R y e S B U e X B l P S J G a W x s Q 2 9 1 b n Q i I F Z h b H V l P S J s M S I g L z 4 8 R W 5 0 c n k g V H l w Z T 0 i R m l s b F N 0 Y X R 1 c y I g V m F s d W U 9 I n N D b 2 1 w b G V 0 Z S I g L z 4 8 R W 5 0 c n k g V H l w Z T 0 i Q W R k Z W R U b 0 R h d G F N b 2 R l b C I g V m F s d W U 9 I m w w I i A v P j x F b n R y e S B U e X B l P S J S Z W x h d G l v b n N o a X B J b m Z v Q 2 9 u d G F p b m V y I i B W Y W x 1 Z T 0 i c 3 s m c X V v d D t j b 2 x 1 b W 5 D b 3 V u d C Z x d W 9 0 O z o x L C Z x d W 9 0 O 2 t l e U N v b H V t b k 5 h b W V z J n F 1 b 3 Q 7 O l t d L C Z x d W 9 0 O 3 F 1 Z X J 5 U m V s Y X R p b 2 5 z a G l w c y Z x d W 9 0 O z p b X S w m c X V v d D t j b 2 x 1 b W 5 J Z G V u d G l 0 a W V z J n F 1 b 3 Q 7 O l s m c X V v d D t T Z W N 0 a W 9 u M S 9 2 Z X J z a W 9 u I C g y K S 9 D a G F u Z 2 V k I F R 5 c G U u e 0 N v b H V t b j E s M H 0 m c X V v d D t d L C Z x d W 9 0 O 0 N v b H V t b k N v d W 5 0 J n F 1 b 3 Q 7 O j E s J n F 1 b 3 Q 7 S 2 V 5 Q 2 9 s d W 1 u T m F t Z X M m c X V v d D s 6 W 1 0 s J n F 1 b 3 Q 7 Q 2 9 s d W 1 u S W R l b n R p d G l l c y Z x d W 9 0 O z p b J n F 1 b 3 Q 7 U 2 V j d G l v b j E v d m V y c 2 l v b i A o M i k v Q 2 h h b m d l Z C B U e X B l L n t D b 2 x 1 b W 4 x L D B 9 J n F 1 b 3 Q 7 X S w m c X V v d D t S Z W x h d G l v b n N o a X B J b m Z v J n F 1 b 3 Q 7 O l t d f S I g L z 4 8 L 1 N 0 Y W J s Z U V u d H J p Z X M + P C 9 J d G V t P j x J d G V t P j x J d G V t T G 9 j Y X R p b 2 4 + P E l 0 Z W 1 U e X B l P k Z v c m 1 1 b G E 8 L 0 l 0 Z W 1 U e X B l P j x J d G V t U G F 0 a D 5 T Z W N 0 a W 9 u M S 9 2 Z X J z a W 9 u J T I w K D I p L 1 N v d X J j Z T w v S X R l b V B h d G g + P C 9 J d G V t T G 9 j Y X R p b 2 4 + P F N 0 Y W J s Z U V u d H J p Z X M g L z 4 8 L 0 l 0 Z W 0 + P E l 0 Z W 0 + P E l 0 Z W 1 M b 2 N h d G l v b j 4 8 S X R l b V R 5 c G U + R m 9 y b X V s Y T w v S X R l b V R 5 c G U + P E l 0 Z W 1 Q Y X R o P l N l Y 3 R p b 2 4 x L 3 Z l c n N p b 2 4 l M j A o M i k v Q 2 h h b m d l Z C U y M F R 5 c G U 8 L 0 l 0 Z W 1 Q Y X R o P j w v S X R l b U x v Y 2 F 0 a W 9 u P j x T d G F i b G V F b n R y a W V z I C 8 + P C 9 J d G V t P j w v S X R l b X M + P C 9 M b 2 N h b F B h Y 2 t h Z 2 V N Z X R h Z G F 0 Y U Z p b G U + F g A A A F B L B Q Y A A A A A A A A A A A A A A A A A A A A A A A D a A A A A A Q A A A N C M n d 8 B F d E R j H o A w E / C l + s B A A A A m a 8 P R m 4 3 F 0 2 a Q b A g 7 w Z j n g A A A A A C A A A A A A A D Z g A A w A A A A B A A A A B Y S h q L U i G X 6 H c J F B h A / f c z A A A A A A S A A A C g A A A A E A A A A I h v 7 2 M 7 b S S 6 U b p e / B H Z 5 Y x Q A A A A k 3 n / T z I U J I L 0 R R 0 q Z 8 q Z h 7 X I r u B h 2 u x X E H Z l a 1 K / i + y q a N X v S 1 x t X Z / 9 m w / n 5 9 d i C c o 3 9 w U H p S z j X q Z 7 V 8 0 J p U c 5 k z 2 9 k q U R u e M 1 3 N d Z p s U U A A A A t V Q 1 H I 0 d M c 9 O P h h L p H N O M x o I J t s = < / 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FAA667C2F5E11C4E819BA678C0C0043E" ma:contentTypeVersion="10" ma:contentTypeDescription="Create a new document." ma:contentTypeScope="" ma:versionID="6ae57d7dd97462063b28d8354ba83845">
  <xsd:schema xmlns:xsd="http://www.w3.org/2001/XMLSchema" xmlns:xs="http://www.w3.org/2001/XMLSchema" xmlns:p="http://schemas.microsoft.com/office/2006/metadata/properties" xmlns:ns2="4f6918be-04bd-4ef5-9033-f96e8699d91a" xmlns:ns3="d537e0d6-14f7-4ec9-80a6-b790a49a1a73" targetNamespace="http://schemas.microsoft.com/office/2006/metadata/properties" ma:root="true" ma:fieldsID="895b30d6892a15de72268e98aa90c000" ns2:_="" ns3:_="">
    <xsd:import namespace="4f6918be-04bd-4ef5-9033-f96e8699d91a"/>
    <xsd:import namespace="d537e0d6-14f7-4ec9-80a6-b790a49a1a7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6918be-04bd-4ef5-9033-f96e8699d9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37e0d6-14f7-4ec9-80a6-b790a49a1a7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0FECE8-2509-4E60-A255-5DBC29334790}">
  <ds:schemaRefs>
    <ds:schemaRef ds:uri="http://purl.org/dc/dcmitype/"/>
    <ds:schemaRef ds:uri="http://schemas.openxmlformats.org/package/2006/metadata/core-properties"/>
    <ds:schemaRef ds:uri="http://schemas.microsoft.com/office/infopath/2007/PartnerControls"/>
    <ds:schemaRef ds:uri="d537e0d6-14f7-4ec9-80a6-b790a49a1a73"/>
    <ds:schemaRef ds:uri="http://schemas.microsoft.com/office/2006/metadata/properties"/>
    <ds:schemaRef ds:uri="http://purl.org/dc/terms/"/>
    <ds:schemaRef ds:uri="http://schemas.microsoft.com/office/2006/documentManagement/types"/>
    <ds:schemaRef ds:uri="4f6918be-04bd-4ef5-9033-f96e8699d91a"/>
    <ds:schemaRef ds:uri="http://www.w3.org/XML/1998/namespace"/>
    <ds:schemaRef ds:uri="http://purl.org/dc/elements/1.1/"/>
  </ds:schemaRefs>
</ds:datastoreItem>
</file>

<file path=customXml/itemProps2.xml><?xml version="1.0" encoding="utf-8"?>
<ds:datastoreItem xmlns:ds="http://schemas.openxmlformats.org/officeDocument/2006/customXml" ds:itemID="{0B876061-2A1A-4BDB-B8EC-671BC182BDF2}">
  <ds:schemaRefs>
    <ds:schemaRef ds:uri="http://schemas.microsoft.com/DataMashup"/>
  </ds:schemaRefs>
</ds:datastoreItem>
</file>

<file path=customXml/itemProps3.xml><?xml version="1.0" encoding="utf-8"?>
<ds:datastoreItem xmlns:ds="http://schemas.openxmlformats.org/officeDocument/2006/customXml" ds:itemID="{1565F09D-E648-4B30-878A-95E3F0F4ADC9}">
  <ds:schemaRefs>
    <ds:schemaRef ds:uri="http://schemas.microsoft.com/sharepoint/v3/contenttype/forms"/>
  </ds:schemaRefs>
</ds:datastoreItem>
</file>

<file path=customXml/itemProps4.xml><?xml version="1.0" encoding="utf-8"?>
<ds:datastoreItem xmlns:ds="http://schemas.openxmlformats.org/officeDocument/2006/customXml" ds:itemID="{1C84193B-E235-4EE7-B99F-3F9B3B1E1D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6918be-04bd-4ef5-9033-f96e8699d91a"/>
    <ds:schemaRef ds:uri="d537e0d6-14f7-4ec9-80a6-b790a49a1a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15</vt:i4>
      </vt:variant>
    </vt:vector>
  </HeadingPairs>
  <TitlesOfParts>
    <vt:vector size="17" baseType="lpstr">
      <vt:lpstr>Informacija</vt:lpstr>
      <vt:lpstr>duomenys</vt:lpstr>
      <vt:lpstr>kainos</vt:lpstr>
      <vt:lpstr>n</vt:lpstr>
      <vt:lpstr>P</vt:lpstr>
      <vt:lpstr>pmax</vt:lpstr>
      <vt:lpstr>pmax\</vt:lpstr>
      <vt:lpstr>pmin</vt:lpstr>
      <vt:lpstr>pref</vt:lpstr>
      <vt:lpstr>duomenys!Print_Area</vt:lpstr>
      <vt:lpstr>Q</vt:lpstr>
      <vt:lpstr>qmin</vt:lpstr>
      <vt:lpstr>Qx</vt:lpstr>
      <vt:lpstr>sm</vt:lpstr>
      <vt:lpstr>ui</vt:lpstr>
      <vt:lpstr>WP</vt:lpstr>
      <vt:lpstr>WQ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Robertas Ignatjevas</cp:lastModifiedBy>
  <cp:revision/>
  <dcterms:created xsi:type="dcterms:W3CDTF">2020-08-15T16:59:54Z</dcterms:created>
  <dcterms:modified xsi:type="dcterms:W3CDTF">2024-12-08T14:41:31Z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0x010100FAA667C2F5E11C4E819BA678C0C0043E</vt:lpwstr>
  </property>
</Properties>
</file>