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toreeasy\userdir$\l.alisauskas\My Documents\2025-10-21 KKT keleiviu vezimas 37\"/>
    </mc:Choice>
  </mc:AlternateContent>
  <xr:revisionPtr revIDLastSave="0" documentId="8_{7E2A89EA-FC67-4C20-A6CE-665638FD9A88}" xr6:coauthVersionLast="47" xr6:coauthVersionMax="47" xr10:uidLastSave="{00000000-0000-0000-0000-000000000000}"/>
  <bookViews>
    <workbookView xWindow="-120" yWindow="-120" windowWidth="38640" windowHeight="21120" tabRatio="961"/>
  </bookViews>
  <sheets>
    <sheet name="Rida" sheetId="3671" r:id="rId1"/>
    <sheet name="37 1-5" sheetId="3672" r:id="rId2"/>
    <sheet name="Šablonas LT (senesnis)" sheetId="593" state="hidden" r:id="rId3"/>
  </sheets>
  <definedNames>
    <definedName name="Header" localSheetId="1">'37 1-5'!$A$4:$A$6</definedName>
    <definedName name="Header" localSheetId="2">'Šablonas LT (senesnis)'!$A$12:$A$14</definedName>
    <definedName name="Header">#REF!</definedName>
    <definedName name="Km" localSheetId="1">'37 1-5'!$A$14:$H$16</definedName>
    <definedName name="Km" localSheetId="2">'Šablonas LT (senesnis)'!$A$18:$H$20</definedName>
    <definedName name="Km">#REF!</definedName>
    <definedName name="TimeTable" localSheetId="1">'37 1-5'!$B$4:$W$6</definedName>
    <definedName name="TimeTable" localSheetId="2">'Šablonas LT (senesnis)'!$B$12:$E$14</definedName>
    <definedName name="TimeTab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2" i="3672" l="1"/>
  <c r="X12" i="3672"/>
  <c r="U12" i="3672"/>
  <c r="T12" i="3672"/>
  <c r="S12" i="3672"/>
  <c r="W12" i="3672"/>
  <c r="P12" i="3672"/>
  <c r="O12" i="3672"/>
  <c r="Q12" i="3672"/>
  <c r="N12" i="3672"/>
  <c r="R12" i="3672"/>
  <c r="M12" i="3672"/>
  <c r="K12" i="3672"/>
  <c r="J12" i="3672"/>
  <c r="L12" i="3672"/>
  <c r="AB11" i="3672"/>
  <c r="AA11" i="3672"/>
  <c r="Z11" i="3672"/>
  <c r="Y11" i="3672"/>
  <c r="V11" i="3672"/>
  <c r="U11" i="3672"/>
  <c r="T11" i="3672"/>
  <c r="X11" i="3672"/>
  <c r="S11" i="3672"/>
  <c r="W11" i="3672"/>
  <c r="P11" i="3672"/>
  <c r="R11" i="3672"/>
  <c r="O11" i="3672"/>
  <c r="Q11" i="3672"/>
  <c r="N11" i="3672"/>
  <c r="M11" i="3672"/>
  <c r="K11" i="3672"/>
  <c r="J11" i="3672"/>
  <c r="L11" i="3672"/>
  <c r="AC10" i="3672"/>
  <c r="AC11" i="3672"/>
  <c r="R10" i="3672"/>
  <c r="Q10" i="3672"/>
  <c r="AC9" i="3672"/>
  <c r="AD11" i="3672"/>
  <c r="R9" i="3672"/>
  <c r="Q9" i="3672"/>
  <c r="B38" i="3671"/>
  <c r="C38" i="3671"/>
  <c r="D38" i="3671"/>
  <c r="E38" i="3671"/>
  <c r="F38" i="3671"/>
  <c r="G38" i="3671"/>
  <c r="H38" i="3671"/>
  <c r="I38" i="3671"/>
  <c r="J38" i="3671"/>
  <c r="K38" i="3671"/>
  <c r="L38" i="3671"/>
  <c r="M38" i="3671"/>
  <c r="N38" i="3671"/>
  <c r="O38" i="3671"/>
  <c r="P38" i="3671"/>
  <c r="B40" i="3671"/>
  <c r="L14" i="593"/>
  <c r="U13" i="593"/>
  <c r="U15" i="593" s="1"/>
  <c r="N13" i="593"/>
  <c r="Z14" i="593"/>
  <c r="M13" i="593"/>
  <c r="L13" i="593"/>
  <c r="U16" i="593"/>
  <c r="W16" i="593" s="1"/>
  <c r="T16" i="593"/>
  <c r="F19" i="593"/>
  <c r="Y13" i="593"/>
  <c r="Y15" i="593" s="1"/>
  <c r="AC15" i="593" s="1"/>
  <c r="AD13" i="593"/>
  <c r="AH13" i="593" s="1"/>
  <c r="X14" i="593"/>
  <c r="F14" i="593"/>
  <c r="U14" i="593"/>
  <c r="AA14" i="593"/>
  <c r="T14" i="593"/>
  <c r="K14" i="593"/>
  <c r="T13" i="593"/>
  <c r="T15" i="593"/>
  <c r="N14" i="593"/>
  <c r="G20" i="593"/>
  <c r="Z13" i="593"/>
  <c r="Z15" i="593" s="1"/>
  <c r="H14" i="593"/>
  <c r="M14" i="593"/>
  <c r="AC13" i="593"/>
  <c r="K13" i="593"/>
  <c r="R14" i="593"/>
  <c r="Q13" i="593"/>
  <c r="F13" i="593"/>
  <c r="D13" i="593"/>
  <c r="AG13" i="593"/>
  <c r="Q14" i="593"/>
  <c r="AI14" i="593"/>
  <c r="F20" i="593"/>
  <c r="AB14" i="593"/>
  <c r="S14" i="593"/>
  <c r="D14" i="593"/>
  <c r="R13" i="593"/>
  <c r="V13" i="593" s="1"/>
  <c r="A13" i="593"/>
  <c r="AG14" i="593"/>
  <c r="AF13" i="593"/>
  <c r="AG15" i="593" s="1"/>
  <c r="A14" i="593"/>
  <c r="H13" i="593"/>
  <c r="AE14" i="593"/>
  <c r="AB13" i="593"/>
  <c r="I13" i="593"/>
  <c r="AF14" i="593"/>
  <c r="I14" i="593"/>
  <c r="X13" i="593"/>
  <c r="X15" i="593" s="1"/>
  <c r="A11" i="593"/>
  <c r="J13" i="593"/>
  <c r="G18" i="593"/>
  <c r="AI13" i="593"/>
  <c r="O14" i="593"/>
  <c r="AC14" i="593"/>
  <c r="P14" i="593"/>
  <c r="G14" i="593"/>
  <c r="G19" i="593"/>
  <c r="AE13" i="593"/>
  <c r="G13" i="593"/>
  <c r="AA13" i="593"/>
  <c r="AA15" i="593"/>
  <c r="Y14" i="593"/>
  <c r="AD14" i="593"/>
  <c r="AH14" i="593" s="1"/>
  <c r="J14" i="593"/>
  <c r="P13" i="593"/>
  <c r="P15" i="593" s="1"/>
  <c r="S13" i="593"/>
  <c r="W13" i="593"/>
  <c r="S15" i="593"/>
  <c r="W15" i="593" s="1"/>
  <c r="H10" i="593"/>
  <c r="O13" i="593"/>
  <c r="O15" i="593" s="1"/>
  <c r="A1" i="593"/>
  <c r="O16" i="593"/>
  <c r="Z16" i="593"/>
  <c r="S16" i="593"/>
  <c r="Y16" i="593"/>
  <c r="AC16" i="593"/>
  <c r="R16" i="593"/>
  <c r="V16" i="593" s="1"/>
  <c r="X16" i="593"/>
  <c r="AB16" i="593"/>
  <c r="AA16" i="593"/>
  <c r="W14" i="593"/>
  <c r="P16" i="593"/>
  <c r="Q16" i="593"/>
  <c r="V14" i="593"/>
  <c r="AB15" i="593" l="1"/>
  <c r="AH15" i="593"/>
  <c r="AI15" i="593"/>
  <c r="Q15" i="593"/>
  <c r="AD15" i="593"/>
  <c r="AF15" i="593"/>
  <c r="R15" i="593"/>
  <c r="V15" i="593" s="1"/>
  <c r="AE15" i="593"/>
</calcChain>
</file>

<file path=xl/sharedStrings.xml><?xml version="1.0" encoding="utf-8"?>
<sst xmlns="http://schemas.openxmlformats.org/spreadsheetml/2006/main" count="154" uniqueCount="82">
  <si>
    <t>Mašina</t>
  </si>
  <si>
    <t>Atvykimas į parką</t>
  </si>
  <si>
    <t>1 Darbo laikas</t>
  </si>
  <si>
    <t>2 Darbo laikas</t>
  </si>
  <si>
    <t>Priėmimas</t>
  </si>
  <si>
    <t>Atidavimas</t>
  </si>
  <si>
    <t>1 Pietūs</t>
  </si>
  <si>
    <t>1 Pietų trukmė</t>
  </si>
  <si>
    <t>2 Pietūs</t>
  </si>
  <si>
    <t>2 Pietų trukmė</t>
  </si>
  <si>
    <t>1 Reisai</t>
  </si>
  <si>
    <t>2 Reisai</t>
  </si>
  <si>
    <t>1+2 Reisai</t>
  </si>
  <si>
    <t>1 km</t>
  </si>
  <si>
    <t>(0)</t>
  </si>
  <si>
    <t>2 km</t>
  </si>
  <si>
    <t>1+2 km</t>
  </si>
  <si>
    <t>1 Darbo trukmė</t>
  </si>
  <si>
    <t>2 Darbo trukmė</t>
  </si>
  <si>
    <t>1+2 Darbo trukmė</t>
  </si>
  <si>
    <t>1 Stovėjimas</t>
  </si>
  <si>
    <t>%</t>
  </si>
  <si>
    <t>2 Stovėjimas</t>
  </si>
  <si>
    <t>1+2 Stovėjimas</t>
  </si>
  <si>
    <t>VISO:</t>
  </si>
  <si>
    <t>Abipusė rida:</t>
  </si>
  <si>
    <t>Tame tarpe pertraukiamų grafikų:</t>
  </si>
  <si>
    <t>VŠĮ„Klaipėdos keleivinis transportas"</t>
  </si>
  <si>
    <t>G.Neniškis</t>
  </si>
  <si>
    <t>UAB „Klaipėdos autobusai"</t>
  </si>
  <si>
    <t>G.Mockevičius</t>
  </si>
  <si>
    <t>2007 m._____________mėn._______d.</t>
  </si>
  <si>
    <t>Tvirtinu</t>
  </si>
  <si>
    <t>Suderinta</t>
  </si>
  <si>
    <t>Direktoriaus pavaduotojas eksploatacijai</t>
  </si>
  <si>
    <t xml:space="preserve">Eksploatacijos direktorius </t>
  </si>
  <si>
    <t>_______________________________</t>
  </si>
  <si>
    <t xml:space="preserve">
</t>
  </si>
  <si>
    <t>01m</t>
  </si>
  <si>
    <t/>
  </si>
  <si>
    <t>A&gt;B Žiedo st. - Kretingos g. - Tauralaukis - Žiedo st.</t>
  </si>
  <si>
    <t>B&gt;A Tauralaukis - Kretingos g. - Žiedo st.</t>
  </si>
  <si>
    <t>A&gt;B1 Žiedo st. - Kretingos g. - Tauralaukis - Žiedo st.</t>
  </si>
  <si>
    <t>Autobusai 37 maršruto "Žiedo st. - Kretingos g. - Tauralaukis - Žiedo st." eismo tvarkaraštis (1-5)</t>
  </si>
  <si>
    <t>Kretingos g., Klaipėdos g., Pajūrio g., Virkučių g., Smėlio g., Vėjo g., Tauro 1-oji g., Tauralaukio g.</t>
  </si>
  <si>
    <t>Žiedo st. - Kretingos g. - Tauralaukis - Žiedo st.</t>
  </si>
  <si>
    <t>Tauralaukis - Kretingos g. - Žiedo st.</t>
  </si>
  <si>
    <t>07:48
08:15</t>
  </si>
  <si>
    <t>08:50
09:10</t>
  </si>
  <si>
    <t>12:34
13:10</t>
  </si>
  <si>
    <t>13:44
14:05</t>
  </si>
  <si>
    <t>14:39
14:55</t>
  </si>
  <si>
    <t>15:29
15:50</t>
  </si>
  <si>
    <t>16:24
16:40</t>
  </si>
  <si>
    <t>17:16
17:25</t>
  </si>
  <si>
    <t>18:01
18:10</t>
  </si>
  <si>
    <t>Iš viso, km</t>
  </si>
  <si>
    <t>Darbo dieną (1-4)</t>
  </si>
  <si>
    <t>Darbo dieną (5)</t>
  </si>
  <si>
    <t>7,Šv.d.</t>
  </si>
  <si>
    <t>-</t>
  </si>
  <si>
    <t>galioja nuo 2026-01-02</t>
  </si>
  <si>
    <t>Šaltasis sezonas</t>
  </si>
  <si>
    <t>Šiltasis sezonas</t>
  </si>
  <si>
    <t>2026.01</t>
  </si>
  <si>
    <t>2026.02</t>
  </si>
  <si>
    <t>2026.03</t>
  </si>
  <si>
    <t>2026.04</t>
  </si>
  <si>
    <t>2026.05</t>
  </si>
  <si>
    <t>2026.06</t>
  </si>
  <si>
    <t>2026.07</t>
  </si>
  <si>
    <t>2026.08</t>
  </si>
  <si>
    <t>2026.09</t>
  </si>
  <si>
    <t>2026.10</t>
  </si>
  <si>
    <t>2026.11</t>
  </si>
  <si>
    <t>2026.12</t>
  </si>
  <si>
    <t>Iš viso:</t>
  </si>
  <si>
    <t>2027.01</t>
  </si>
  <si>
    <t>2027.02</t>
  </si>
  <si>
    <t>2027.03</t>
  </si>
  <si>
    <t>07:05
09:43</t>
  </si>
  <si>
    <t>12:00
18:46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</si>
</sst>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83" formatCode="h:mm;h:mm;;@\ "/>
    <numFmt numFmtId="184" formatCode="0.0;\-0.0;;@\ "/>
    <numFmt numFmtId="187" formatCode="General;General;;@\ "/>
    <numFmt numFmtId="189" formatCode="0;0;;@\ "/>
    <numFmt numFmtId="190" formatCode="0;\-0;;@\ "/>
    <numFmt numFmtId="196" formatCode="0;\-0;@\ "/>
    <numFmt numFmtId="197" formatCode="0.00;\-0.00;;@\ "/>
    <numFmt numFmtId="198" formatCode="General;\-General;;@\ "/>
    <numFmt numFmtId="199" formatCode="0.0%"/>
    <numFmt numFmtId="210" formatCode="0.000\ &quot;km&quot;;\-0.000\ &quot;km&quot;;;@"/>
    <numFmt numFmtId="212" formatCode="0.00;\-0.00;;@"/>
    <numFmt numFmtId="214" formatCode="0.000;\-0.000;;@\ "/>
    <numFmt numFmtId="215" formatCode="0.000"/>
    <numFmt numFmtId="219" formatCode="yyyy/mm/dd\ hh:mm:ss"/>
    <numFmt numFmtId="220" formatCode="0.000;\-0.000;;@"/>
    <numFmt numFmtId="221" formatCode="[h]:mm"/>
    <numFmt numFmtId="222" formatCode="yyyy\-mm\-dd"/>
  </numFmts>
  <fonts count="13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sz val="10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CCCCCC"/>
        <bgColor rgb="FFCCCCCC"/>
      </patternFill>
    </fill>
    <fill>
      <patternFill patternType="solid">
        <fgColor rgb="FFFFF2CC"/>
        <bgColor rgb="FFFFF2CC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9" fillId="0" borderId="0"/>
    <xf numFmtId="0" fontId="1" fillId="0" borderId="0"/>
  </cellStyleXfs>
  <cellXfs count="135">
    <xf numFmtId="0" fontId="0" fillId="0" borderId="0" xfId="0"/>
    <xf numFmtId="0" fontId="2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 applyAlignment="1">
      <alignment horizontal="right" vertical="center"/>
    </xf>
    <xf numFmtId="0" fontId="3" fillId="0" borderId="1" xfId="4" applyFont="1" applyBorder="1" applyAlignment="1">
      <alignment horizontal="center" textRotation="90" wrapText="1"/>
    </xf>
    <xf numFmtId="0" fontId="3" fillId="0" borderId="1" xfId="4" applyFont="1" applyBorder="1" applyAlignment="1">
      <alignment horizontal="center" vertical="center" textRotation="90" wrapText="1"/>
    </xf>
    <xf numFmtId="49" fontId="3" fillId="0" borderId="1" xfId="4" applyNumberFormat="1" applyFont="1" applyBorder="1" applyAlignment="1">
      <alignment horizontal="center" textRotation="90" wrapText="1"/>
    </xf>
    <xf numFmtId="0" fontId="3" fillId="0" borderId="0" xfId="4" applyFont="1" applyAlignment="1">
      <alignment horizontal="center" vertical="center"/>
    </xf>
    <xf numFmtId="49" fontId="3" fillId="0" borderId="2" xfId="4" applyNumberFormat="1" applyFont="1" applyBorder="1" applyAlignment="1">
      <alignment horizontal="center" vertical="center" wrapText="1"/>
    </xf>
    <xf numFmtId="20" fontId="2" fillId="0" borderId="2" xfId="4" applyNumberFormat="1" applyFont="1" applyBorder="1" applyAlignment="1">
      <alignment horizontal="center" wrapText="1"/>
    </xf>
    <xf numFmtId="0" fontId="2" fillId="0" borderId="0" xfId="4" applyFont="1" applyAlignment="1">
      <alignment horizontal="center"/>
    </xf>
    <xf numFmtId="49" fontId="3" fillId="0" borderId="3" xfId="4" applyNumberFormat="1" applyFont="1" applyBorder="1" applyAlignment="1">
      <alignment horizontal="center" vertical="center" wrapText="1"/>
    </xf>
    <xf numFmtId="184" fontId="3" fillId="0" borderId="0" xfId="4" applyNumberFormat="1" applyFont="1" applyAlignment="1">
      <alignment horizontal="right" vertical="center"/>
    </xf>
    <xf numFmtId="196" fontId="3" fillId="0" borderId="0" xfId="4" applyNumberFormat="1" applyFont="1" applyAlignment="1">
      <alignment horizontal="right" vertical="center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center" vertical="center" textRotation="90" wrapText="1"/>
    </xf>
    <xf numFmtId="49" fontId="3" fillId="0" borderId="4" xfId="4" applyNumberFormat="1" applyFont="1" applyBorder="1" applyAlignment="1">
      <alignment horizontal="center" textRotation="90" wrapText="1"/>
    </xf>
    <xf numFmtId="49" fontId="3" fillId="0" borderId="5" xfId="4" applyNumberFormat="1" applyFont="1" applyBorder="1" applyAlignment="1">
      <alignment horizontal="center" textRotation="90" wrapText="1"/>
    </xf>
    <xf numFmtId="20" fontId="2" fillId="0" borderId="2" xfId="4" applyNumberFormat="1" applyFont="1" applyBorder="1" applyAlignment="1">
      <alignment horizontal="center" vertical="center" wrapText="1"/>
    </xf>
    <xf numFmtId="0" fontId="2" fillId="0" borderId="0" xfId="4" applyFont="1" applyAlignment="1">
      <alignment horizontal="center" wrapText="1"/>
    </xf>
    <xf numFmtId="190" fontId="2" fillId="0" borderId="2" xfId="4" applyNumberFormat="1" applyFont="1" applyBorder="1" applyAlignment="1">
      <alignment horizontal="center" vertical="center" wrapText="1"/>
    </xf>
    <xf numFmtId="20" fontId="4" fillId="0" borderId="2" xfId="4" applyNumberFormat="1" applyFont="1" applyBorder="1" applyAlignment="1">
      <alignment horizontal="center" wrapText="1"/>
    </xf>
    <xf numFmtId="190" fontId="4" fillId="0" borderId="2" xfId="4" applyNumberFormat="1" applyFont="1" applyBorder="1" applyAlignment="1">
      <alignment horizontal="center" vertical="center" wrapText="1"/>
    </xf>
    <xf numFmtId="198" fontId="2" fillId="0" borderId="6" xfId="4" applyNumberFormat="1" applyFont="1" applyBorder="1" applyAlignment="1">
      <alignment horizontal="right" vertical="center"/>
    </xf>
    <xf numFmtId="183" fontId="2" fillId="0" borderId="6" xfId="4" applyNumberFormat="1" applyFont="1" applyBorder="1" applyAlignment="1">
      <alignment horizontal="right" vertical="center"/>
    </xf>
    <xf numFmtId="189" fontId="2" fillId="0" borderId="7" xfId="4" applyNumberFormat="1" applyFont="1" applyBorder="1" applyAlignment="1">
      <alignment horizontal="right" vertical="center"/>
    </xf>
    <xf numFmtId="20" fontId="2" fillId="0" borderId="3" xfId="4" applyNumberFormat="1" applyFont="1" applyBorder="1" applyAlignment="1">
      <alignment horizontal="center" vertical="center" wrapText="1"/>
    </xf>
    <xf numFmtId="20" fontId="2" fillId="0" borderId="8" xfId="4" applyNumberFormat="1" applyFont="1" applyBorder="1" applyAlignment="1">
      <alignment horizontal="center" wrapText="1"/>
    </xf>
    <xf numFmtId="20" fontId="4" fillId="0" borderId="8" xfId="4" applyNumberFormat="1" applyFont="1" applyBorder="1" applyAlignment="1">
      <alignment horizontal="center" wrapText="1"/>
    </xf>
    <xf numFmtId="190" fontId="4" fillId="0" borderId="8" xfId="4" applyNumberFormat="1" applyFont="1" applyBorder="1" applyAlignment="1">
      <alignment horizontal="center" vertical="center" wrapText="1"/>
    </xf>
    <xf numFmtId="198" fontId="2" fillId="0" borderId="9" xfId="4" applyNumberFormat="1" applyFont="1" applyBorder="1" applyAlignment="1">
      <alignment horizontal="right" vertical="center"/>
    </xf>
    <xf numFmtId="183" fontId="2" fillId="0" borderId="9" xfId="4" applyNumberFormat="1" applyFont="1" applyBorder="1" applyAlignment="1">
      <alignment horizontal="right" vertical="center"/>
    </xf>
    <xf numFmtId="189" fontId="2" fillId="0" borderId="10" xfId="4" applyNumberFormat="1" applyFont="1" applyBorder="1" applyAlignment="1">
      <alignment horizontal="right" vertical="center"/>
    </xf>
    <xf numFmtId="0" fontId="2" fillId="0" borderId="0" xfId="4" applyFont="1" applyAlignment="1">
      <alignment vertical="center" shrinkToFit="1"/>
    </xf>
    <xf numFmtId="20" fontId="3" fillId="0" borderId="4" xfId="4" applyNumberFormat="1" applyFont="1" applyBorder="1" applyAlignment="1">
      <alignment horizontal="right" vertical="center" shrinkToFit="1"/>
    </xf>
    <xf numFmtId="189" fontId="3" fillId="0" borderId="11" xfId="4" applyNumberFormat="1" applyFont="1" applyBorder="1" applyAlignment="1">
      <alignment horizontal="right" vertical="center" shrinkToFit="1"/>
    </xf>
    <xf numFmtId="20" fontId="3" fillId="0" borderId="12" xfId="4" applyNumberFormat="1" applyFont="1" applyBorder="1" applyAlignment="1">
      <alignment horizontal="right" vertical="center" shrinkToFit="1"/>
    </xf>
    <xf numFmtId="189" fontId="3" fillId="0" borderId="13" xfId="4" applyNumberFormat="1" applyFont="1" applyBorder="1" applyAlignment="1">
      <alignment horizontal="right" vertical="center" shrinkToFit="1"/>
    </xf>
    <xf numFmtId="189" fontId="3" fillId="0" borderId="5" xfId="4" applyNumberFormat="1" applyFont="1" applyBorder="1" applyAlignment="1">
      <alignment horizontal="right" vertical="center" shrinkToFit="1"/>
    </xf>
    <xf numFmtId="199" fontId="3" fillId="0" borderId="11" xfId="4" applyNumberFormat="1" applyFont="1" applyBorder="1" applyAlignment="1">
      <alignment horizontal="right" vertical="center" shrinkToFit="1"/>
    </xf>
    <xf numFmtId="199" fontId="3" fillId="0" borderId="13" xfId="4" applyNumberFormat="1" applyFont="1" applyBorder="1" applyAlignment="1">
      <alignment horizontal="right" vertical="center" shrinkToFit="1"/>
    </xf>
    <xf numFmtId="199" fontId="3" fillId="0" borderId="5" xfId="4" applyNumberFormat="1" applyFont="1" applyBorder="1" applyAlignment="1">
      <alignment horizontal="right" vertical="center" shrinkToFit="1"/>
    </xf>
    <xf numFmtId="20" fontId="3" fillId="0" borderId="0" xfId="4" applyNumberFormat="1" applyFont="1" applyAlignment="1">
      <alignment horizontal="right" vertical="center"/>
    </xf>
    <xf numFmtId="189" fontId="3" fillId="0" borderId="0" xfId="4" applyNumberFormat="1" applyFont="1" applyAlignment="1">
      <alignment horizontal="right" vertical="center"/>
    </xf>
    <xf numFmtId="187" fontId="3" fillId="0" borderId="0" xfId="4" applyNumberFormat="1" applyFont="1" applyAlignment="1">
      <alignment horizontal="right" vertical="center"/>
    </xf>
    <xf numFmtId="20" fontId="3" fillId="0" borderId="0" xfId="4" applyNumberFormat="1" applyFont="1" applyAlignment="1">
      <alignment horizontal="right" vertical="center" shrinkToFit="1"/>
    </xf>
    <xf numFmtId="199" fontId="3" fillId="0" borderId="0" xfId="4" applyNumberFormat="1" applyFont="1" applyAlignment="1">
      <alignment horizontal="right" vertical="center" shrinkToFit="1"/>
    </xf>
    <xf numFmtId="0" fontId="3" fillId="0" borderId="13" xfId="4" applyFont="1" applyBorder="1" applyAlignment="1">
      <alignment horizontal="right" vertical="center"/>
    </xf>
    <xf numFmtId="0" fontId="3" fillId="0" borderId="12" xfId="4" applyFont="1" applyBorder="1" applyAlignment="1">
      <alignment horizontal="right" vertical="center" shrinkToFit="1"/>
    </xf>
    <xf numFmtId="198" fontId="3" fillId="0" borderId="13" xfId="4" applyNumberFormat="1" applyFont="1" applyBorder="1" applyAlignment="1">
      <alignment horizontal="right" vertical="center" shrinkToFit="1"/>
    </xf>
    <xf numFmtId="2" fontId="3" fillId="0" borderId="12" xfId="4" applyNumberFormat="1" applyFont="1" applyBorder="1" applyAlignment="1">
      <alignment horizontal="right" vertical="center" shrinkToFit="1"/>
    </xf>
    <xf numFmtId="197" fontId="2" fillId="0" borderId="6" xfId="4" applyNumberFormat="1" applyFont="1" applyBorder="1" applyAlignment="1">
      <alignment horizontal="right" vertical="center" shrinkToFit="1"/>
    </xf>
    <xf numFmtId="197" fontId="2" fillId="0" borderId="9" xfId="4" applyNumberFormat="1" applyFont="1" applyBorder="1" applyAlignment="1">
      <alignment horizontal="right" vertical="center" shrinkToFit="1"/>
    </xf>
    <xf numFmtId="197" fontId="2" fillId="0" borderId="7" xfId="4" applyNumberFormat="1" applyFont="1" applyBorder="1" applyAlignment="1">
      <alignment horizontal="right" vertical="center" shrinkToFit="1"/>
    </xf>
    <xf numFmtId="197" fontId="2" fillId="0" borderId="10" xfId="4" applyNumberFormat="1" applyFont="1" applyBorder="1" applyAlignment="1">
      <alignment horizontal="right" vertical="center" shrinkToFit="1"/>
    </xf>
    <xf numFmtId="199" fontId="2" fillId="0" borderId="7" xfId="4" applyNumberFormat="1" applyFont="1" applyBorder="1" applyAlignment="1">
      <alignment horizontal="right" vertical="center" shrinkToFit="1"/>
    </xf>
    <xf numFmtId="20" fontId="2" fillId="0" borderId="6" xfId="4" applyNumberFormat="1" applyFont="1" applyBorder="1" applyAlignment="1">
      <alignment horizontal="right" vertical="center" shrinkToFit="1"/>
    </xf>
    <xf numFmtId="189" fontId="2" fillId="0" borderId="7" xfId="4" applyNumberFormat="1" applyFont="1" applyBorder="1" applyAlignment="1">
      <alignment horizontal="right" vertical="center" shrinkToFit="1"/>
    </xf>
    <xf numFmtId="183" fontId="2" fillId="0" borderId="6" xfId="4" applyNumberFormat="1" applyFont="1" applyBorder="1" applyAlignment="1">
      <alignment horizontal="right" vertical="center" shrinkToFit="1"/>
    </xf>
    <xf numFmtId="20" fontId="2" fillId="0" borderId="9" xfId="4" applyNumberFormat="1" applyFont="1" applyBorder="1" applyAlignment="1">
      <alignment horizontal="right" vertical="center" shrinkToFit="1"/>
    </xf>
    <xf numFmtId="189" fontId="2" fillId="0" borderId="10" xfId="4" applyNumberFormat="1" applyFont="1" applyBorder="1" applyAlignment="1">
      <alignment horizontal="right" vertical="center" shrinkToFit="1"/>
    </xf>
    <xf numFmtId="183" fontId="2" fillId="0" borderId="9" xfId="4" applyNumberFormat="1" applyFont="1" applyBorder="1" applyAlignment="1">
      <alignment horizontal="right" vertical="center" shrinkToFit="1"/>
    </xf>
    <xf numFmtId="212" fontId="3" fillId="0" borderId="12" xfId="4" applyNumberFormat="1" applyFont="1" applyBorder="1" applyAlignment="1">
      <alignment horizontal="right" vertical="center" shrinkToFit="1"/>
    </xf>
    <xf numFmtId="212" fontId="3" fillId="0" borderId="13" xfId="4" applyNumberFormat="1" applyFont="1" applyBorder="1" applyAlignment="1">
      <alignment horizontal="right" vertical="center" shrinkToFit="1"/>
    </xf>
    <xf numFmtId="0" fontId="10" fillId="0" borderId="0" xfId="0" applyFont="1"/>
    <xf numFmtId="222" fontId="10" fillId="0" borderId="0" xfId="0" applyNumberFormat="1" applyFont="1"/>
    <xf numFmtId="0" fontId="11" fillId="0" borderId="0" xfId="0" applyFont="1" applyFill="1" applyBorder="1" applyAlignment="1">
      <alignment horizontal="center"/>
    </xf>
    <xf numFmtId="0" fontId="1" fillId="0" borderId="0" xfId="0" applyFont="1"/>
    <xf numFmtId="0" fontId="9" fillId="0" borderId="0" xfId="3"/>
    <xf numFmtId="0" fontId="10" fillId="0" borderId="0" xfId="3" applyFont="1"/>
    <xf numFmtId="0" fontId="10" fillId="3" borderId="0" xfId="3" applyFont="1" applyFill="1"/>
    <xf numFmtId="0" fontId="10" fillId="4" borderId="0" xfId="3" applyFont="1" applyFill="1"/>
    <xf numFmtId="0" fontId="10" fillId="5" borderId="0" xfId="3" applyFont="1" applyFill="1"/>
    <xf numFmtId="0" fontId="10" fillId="0" borderId="0" xfId="3" applyFont="1" applyAlignment="1">
      <alignment horizontal="center" vertical="center"/>
    </xf>
    <xf numFmtId="0" fontId="10" fillId="0" borderId="14" xfId="3" applyFont="1" applyBorder="1"/>
    <xf numFmtId="0" fontId="10" fillId="5" borderId="14" xfId="3" applyFont="1" applyFill="1" applyBorder="1"/>
    <xf numFmtId="0" fontId="10" fillId="0" borderId="15" xfId="3" applyFont="1" applyBorder="1"/>
    <xf numFmtId="0" fontId="10" fillId="3" borderId="15" xfId="3" applyFont="1" applyFill="1" applyBorder="1"/>
    <xf numFmtId="0" fontId="10" fillId="5" borderId="7" xfId="3" applyFont="1" applyFill="1" applyBorder="1"/>
    <xf numFmtId="0" fontId="10" fillId="4" borderId="6" xfId="3" applyFont="1" applyFill="1" applyBorder="1"/>
    <xf numFmtId="0" fontId="10" fillId="0" borderId="16" xfId="3" applyFont="1" applyBorder="1"/>
    <xf numFmtId="0" fontId="10" fillId="0" borderId="6" xfId="3" applyFont="1" applyBorder="1"/>
    <xf numFmtId="0" fontId="10" fillId="0" borderId="21" xfId="3" applyFont="1" applyBorder="1" applyAlignment="1">
      <alignment horizontal="center" vertical="center"/>
    </xf>
    <xf numFmtId="0" fontId="11" fillId="0" borderId="0" xfId="3" applyFont="1"/>
    <xf numFmtId="0" fontId="10" fillId="5" borderId="15" xfId="3" applyFont="1" applyFill="1" applyBorder="1"/>
    <xf numFmtId="0" fontId="10" fillId="4" borderId="15" xfId="3" applyFont="1" applyFill="1" applyBorder="1"/>
    <xf numFmtId="0" fontId="10" fillId="0" borderId="22" xfId="3" applyFont="1" applyBorder="1"/>
    <xf numFmtId="0" fontId="10" fillId="0" borderId="7" xfId="3" applyFont="1" applyBorder="1"/>
    <xf numFmtId="0" fontId="10" fillId="4" borderId="2" xfId="3" applyFont="1" applyFill="1" applyBorder="1"/>
    <xf numFmtId="0" fontId="10" fillId="3" borderId="6" xfId="3" applyFont="1" applyFill="1" applyBorder="1"/>
    <xf numFmtId="0" fontId="10" fillId="0" borderId="23" xfId="3" applyFont="1" applyBorder="1" applyAlignment="1">
      <alignment horizontal="center" vertical="center"/>
    </xf>
    <xf numFmtId="0" fontId="10" fillId="5" borderId="2" xfId="3" applyFont="1" applyFill="1" applyBorder="1"/>
    <xf numFmtId="0" fontId="11" fillId="0" borderId="3" xfId="3" applyFont="1" applyBorder="1" applyAlignment="1">
      <alignment horizontal="center"/>
    </xf>
    <xf numFmtId="0" fontId="10" fillId="0" borderId="0" xfId="1" applyFont="1"/>
    <xf numFmtId="0" fontId="10" fillId="3" borderId="0" xfId="1" applyFont="1" applyFill="1"/>
    <xf numFmtId="0" fontId="10" fillId="4" borderId="0" xfId="1" applyFont="1" applyFill="1"/>
    <xf numFmtId="0" fontId="10" fillId="5" borderId="0" xfId="1" applyFont="1" applyFill="1"/>
    <xf numFmtId="0" fontId="11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0" fillId="3" borderId="0" xfId="1" applyFont="1" applyFill="1" applyAlignment="1">
      <alignment horizontal="left"/>
    </xf>
    <xf numFmtId="0" fontId="10" fillId="5" borderId="0" xfId="1" applyFont="1" applyFill="1" applyAlignment="1">
      <alignment horizontal="left"/>
    </xf>
    <xf numFmtId="0" fontId="10" fillId="4" borderId="0" xfId="1" applyFont="1" applyFill="1" applyAlignment="1">
      <alignment horizontal="left"/>
    </xf>
    <xf numFmtId="0" fontId="10" fillId="0" borderId="17" xfId="3" applyFont="1" applyBorder="1"/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0" fillId="3" borderId="18" xfId="3" applyFont="1" applyFill="1" applyBorder="1"/>
    <xf numFmtId="0" fontId="10" fillId="5" borderId="18" xfId="3" applyFont="1" applyFill="1" applyBorder="1"/>
    <xf numFmtId="0" fontId="1" fillId="0" borderId="1" xfId="0" applyFont="1" applyBorder="1"/>
    <xf numFmtId="221" fontId="3" fillId="0" borderId="4" xfId="4" applyNumberFormat="1" applyFont="1" applyBorder="1" applyAlignment="1">
      <alignment horizontal="right" vertical="center" shrinkToFit="1"/>
    </xf>
    <xf numFmtId="221" fontId="3" fillId="0" borderId="12" xfId="4" applyNumberFormat="1" applyFont="1" applyBorder="1" applyAlignment="1">
      <alignment horizontal="right" vertical="center" shrinkToFit="1"/>
    </xf>
    <xf numFmtId="20" fontId="6" fillId="0" borderId="2" xfId="4" applyNumberFormat="1" applyFont="1" applyBorder="1" applyAlignment="1">
      <alignment horizontal="center" wrapText="1"/>
    </xf>
    <xf numFmtId="0" fontId="6" fillId="2" borderId="1" xfId="4" applyFont="1" applyFill="1" applyBorder="1" applyAlignment="1">
      <alignment horizontal="center" vertical="center" textRotation="90" wrapText="1"/>
    </xf>
    <xf numFmtId="214" fontId="2" fillId="0" borderId="6" xfId="4" applyNumberFormat="1" applyFont="1" applyBorder="1" applyAlignment="1">
      <alignment horizontal="right" vertical="center" shrinkToFit="1"/>
    </xf>
    <xf numFmtId="214" fontId="2" fillId="0" borderId="7" xfId="4" applyNumberFormat="1" applyFont="1" applyBorder="1" applyAlignment="1">
      <alignment horizontal="right" vertical="center" shrinkToFit="1"/>
    </xf>
    <xf numFmtId="214" fontId="2" fillId="0" borderId="9" xfId="4" applyNumberFormat="1" applyFont="1" applyBorder="1" applyAlignment="1">
      <alignment horizontal="right" vertical="center" shrinkToFit="1"/>
    </xf>
    <xf numFmtId="214" fontId="2" fillId="0" borderId="10" xfId="4" applyNumberFormat="1" applyFont="1" applyBorder="1" applyAlignment="1">
      <alignment horizontal="right" vertical="center" shrinkToFit="1"/>
    </xf>
    <xf numFmtId="215" fontId="3" fillId="0" borderId="12" xfId="4" applyNumberFormat="1" applyFont="1" applyBorder="1" applyAlignment="1">
      <alignment horizontal="right" vertical="center" shrinkToFit="1"/>
    </xf>
    <xf numFmtId="220" fontId="3" fillId="0" borderId="13" xfId="4" applyNumberFormat="1" applyFont="1" applyBorder="1" applyAlignment="1">
      <alignment horizontal="right" vertical="center" shrinkToFit="1"/>
    </xf>
    <xf numFmtId="220" fontId="3" fillId="0" borderId="12" xfId="4" applyNumberFormat="1" applyFont="1" applyBorder="1" applyAlignment="1">
      <alignment horizontal="right" vertical="center" shrinkToFit="1"/>
    </xf>
    <xf numFmtId="0" fontId="6" fillId="0" borderId="1" xfId="4" applyFont="1" applyBorder="1" applyAlignment="1">
      <alignment horizontal="center" vertical="center" textRotation="90" wrapText="1"/>
    </xf>
    <xf numFmtId="0" fontId="12" fillId="6" borderId="19" xfId="3" applyFont="1" applyFill="1" applyBorder="1" applyAlignment="1">
      <alignment horizontal="center"/>
    </xf>
    <xf numFmtId="0" fontId="12" fillId="6" borderId="20" xfId="3" applyFont="1" applyFill="1" applyBorder="1" applyAlignment="1">
      <alignment horizontal="center"/>
    </xf>
    <xf numFmtId="0" fontId="12" fillId="6" borderId="17" xfId="3" applyFont="1" applyFill="1" applyBorder="1" applyAlignment="1">
      <alignment horizontal="center"/>
    </xf>
    <xf numFmtId="0" fontId="12" fillId="6" borderId="6" xfId="3" applyFont="1" applyFill="1" applyBorder="1" applyAlignment="1">
      <alignment horizontal="center" vertical="center"/>
    </xf>
    <xf numFmtId="0" fontId="12" fillId="6" borderId="14" xfId="3" applyFont="1" applyFill="1" applyBorder="1" applyAlignment="1">
      <alignment horizontal="center" vertical="center"/>
    </xf>
    <xf numFmtId="210" fontId="3" fillId="0" borderId="0" xfId="4" applyNumberFormat="1" applyFont="1" applyAlignment="1">
      <alignment horizontal="right" vertical="center" shrinkToFit="1"/>
    </xf>
    <xf numFmtId="219" fontId="5" fillId="0" borderId="0" xfId="4" applyNumberFormat="1" applyFont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2" fillId="0" borderId="0" xfId="4" applyFont="1" applyAlignment="1">
      <alignment horizontal="center" vertical="top" wrapText="1"/>
    </xf>
    <xf numFmtId="0" fontId="3" fillId="0" borderId="4" xfId="4" applyFont="1" applyBorder="1" applyAlignment="1">
      <alignment horizontal="center" vertical="center" shrinkToFit="1"/>
    </xf>
    <xf numFmtId="0" fontId="1" fillId="0" borderId="13" xfId="1" applyBorder="1"/>
    <xf numFmtId="0" fontId="1" fillId="0" borderId="5" xfId="1" applyBorder="1"/>
    <xf numFmtId="0" fontId="0" fillId="0" borderId="13" xfId="0" applyBorder="1"/>
    <xf numFmtId="0" fontId="0" fillId="0" borderId="5" xfId="0" applyBorder="1"/>
  </cellXfs>
  <cellStyles count="5">
    <cellStyle name="Įprastas" xfId="0" builtinId="0"/>
    <cellStyle name="Normal 2" xfId="1"/>
    <cellStyle name="Normal 3" xfId="2"/>
    <cellStyle name="Normal 4" xfId="3"/>
    <cellStyle name="Normal_1-Schedule for line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topLeftCell="A5" workbookViewId="0">
      <selection activeCell="Q24" sqref="Q24"/>
    </sheetView>
  </sheetViews>
  <sheetFormatPr defaultColWidth="12.5703125" defaultRowHeight="12.75" x14ac:dyDescent="0.2"/>
  <cols>
    <col min="2" max="11" width="9" bestFit="1" customWidth="1"/>
    <col min="12" max="12" width="8" bestFit="1" customWidth="1"/>
    <col min="13" max="13" width="9" bestFit="1" customWidth="1"/>
    <col min="14" max="14" width="8" bestFit="1" customWidth="1"/>
    <col min="15" max="16" width="9" bestFit="1" customWidth="1"/>
    <col min="18" max="18" width="14.85546875" customWidth="1"/>
    <col min="19" max="19" width="10" customWidth="1"/>
  </cols>
  <sheetData>
    <row r="1" spans="1:19" ht="15.75" customHeight="1" x14ac:dyDescent="0.2">
      <c r="A1" s="64"/>
      <c r="B1" s="64"/>
      <c r="C1" s="65"/>
    </row>
    <row r="2" spans="1:19" ht="15.75" customHeight="1" x14ac:dyDescent="0.2">
      <c r="A2" s="64"/>
      <c r="B2" s="64"/>
    </row>
    <row r="3" spans="1:19" ht="15.75" customHeight="1" x14ac:dyDescent="0.2">
      <c r="A3" s="64"/>
      <c r="B3" s="64"/>
    </row>
    <row r="4" spans="1:19" ht="15.75" customHeight="1" x14ac:dyDescent="0.2">
      <c r="A4" s="64"/>
      <c r="B4" s="64"/>
    </row>
    <row r="5" spans="1:19" ht="15.75" customHeight="1" x14ac:dyDescent="0.2">
      <c r="A5" s="68"/>
      <c r="B5" s="122" t="s">
        <v>62</v>
      </c>
      <c r="C5" s="122"/>
      <c r="D5" s="122"/>
      <c r="E5" s="123"/>
      <c r="F5" s="121" t="s">
        <v>63</v>
      </c>
      <c r="G5" s="122"/>
      <c r="H5" s="122"/>
      <c r="I5" s="122"/>
      <c r="J5" s="123"/>
      <c r="K5" s="124" t="s">
        <v>62</v>
      </c>
      <c r="L5" s="125"/>
      <c r="M5" s="125"/>
      <c r="N5" s="125"/>
      <c r="O5" s="125"/>
      <c r="P5" s="125"/>
    </row>
    <row r="6" spans="1:19" ht="15.75" customHeight="1" x14ac:dyDescent="0.2">
      <c r="A6" s="68"/>
      <c r="B6" s="92" t="s">
        <v>64</v>
      </c>
      <c r="C6" s="92" t="s">
        <v>65</v>
      </c>
      <c r="D6" s="92" t="s">
        <v>66</v>
      </c>
      <c r="E6" s="92" t="s">
        <v>67</v>
      </c>
      <c r="F6" s="92" t="s">
        <v>68</v>
      </c>
      <c r="G6" s="92" t="s">
        <v>69</v>
      </c>
      <c r="H6" s="92" t="s">
        <v>70</v>
      </c>
      <c r="I6" s="92" t="s">
        <v>71</v>
      </c>
      <c r="J6" s="92" t="s">
        <v>72</v>
      </c>
      <c r="K6" s="92" t="s">
        <v>73</v>
      </c>
      <c r="L6" s="92" t="s">
        <v>74</v>
      </c>
      <c r="M6" s="92" t="s">
        <v>75</v>
      </c>
      <c r="N6" s="92" t="s">
        <v>77</v>
      </c>
      <c r="O6" s="92" t="s">
        <v>78</v>
      </c>
      <c r="P6" s="92" t="s">
        <v>79</v>
      </c>
    </row>
    <row r="7" spans="1:19" ht="15.75" customHeight="1" x14ac:dyDescent="0.2">
      <c r="A7" s="83">
        <v>1</v>
      </c>
      <c r="B7" s="71">
        <v>0</v>
      </c>
      <c r="C7" s="71">
        <v>0</v>
      </c>
      <c r="D7" s="71">
        <v>0</v>
      </c>
      <c r="E7" s="69">
        <v>154.11600000000001</v>
      </c>
      <c r="F7" s="71">
        <v>0</v>
      </c>
      <c r="G7" s="69">
        <v>154.11600000000001</v>
      </c>
      <c r="H7" s="69">
        <v>154.11600000000001</v>
      </c>
      <c r="I7" s="72">
        <v>0</v>
      </c>
      <c r="J7" s="69">
        <v>154.11600000000001</v>
      </c>
      <c r="K7" s="69">
        <v>154.11600000000001</v>
      </c>
      <c r="L7" s="71">
        <v>0</v>
      </c>
      <c r="M7" s="76">
        <v>154.11600000000001</v>
      </c>
      <c r="N7" s="71">
        <v>0</v>
      </c>
      <c r="O7" s="69">
        <v>154.11600000000001</v>
      </c>
      <c r="P7" s="102">
        <v>154.11600000000001</v>
      </c>
    </row>
    <row r="8" spans="1:19" ht="15.75" customHeight="1" x14ac:dyDescent="0.2">
      <c r="A8" s="83">
        <v>2</v>
      </c>
      <c r="B8" s="94">
        <v>154.11600000000001</v>
      </c>
      <c r="C8" s="69">
        <v>154.11600000000001</v>
      </c>
      <c r="D8" s="69">
        <v>154.11600000000001</v>
      </c>
      <c r="E8" s="69">
        <v>154.11600000000001</v>
      </c>
      <c r="F8" s="72">
        <v>0</v>
      </c>
      <c r="G8" s="69">
        <v>154.11600000000001</v>
      </c>
      <c r="H8" s="69">
        <v>154.11600000000001</v>
      </c>
      <c r="I8" s="71">
        <v>0</v>
      </c>
      <c r="J8" s="69">
        <v>154.11600000000001</v>
      </c>
      <c r="K8" s="70">
        <v>154.11600000000001</v>
      </c>
      <c r="L8" s="71">
        <v>0</v>
      </c>
      <c r="M8" s="76">
        <v>154.11600000000001</v>
      </c>
      <c r="N8" s="72">
        <v>0</v>
      </c>
      <c r="O8" s="69">
        <v>154.11600000000001</v>
      </c>
      <c r="P8" s="76">
        <v>154.11600000000001</v>
      </c>
    </row>
    <row r="9" spans="1:19" ht="15.75" customHeight="1" x14ac:dyDescent="0.2">
      <c r="A9" s="83">
        <v>3</v>
      </c>
      <c r="B9" s="72">
        <v>0</v>
      </c>
      <c r="C9" s="69">
        <v>154.11600000000001</v>
      </c>
      <c r="D9" s="69">
        <v>154.11600000000001</v>
      </c>
      <c r="E9" s="70">
        <v>154.11600000000001</v>
      </c>
      <c r="F9" s="71">
        <v>0</v>
      </c>
      <c r="G9" s="69">
        <v>154.11600000000001</v>
      </c>
      <c r="H9" s="70">
        <v>154.11600000000001</v>
      </c>
      <c r="I9" s="69">
        <v>154.11600000000001</v>
      </c>
      <c r="J9" s="69">
        <v>154.11600000000001</v>
      </c>
      <c r="K9" s="72">
        <v>0</v>
      </c>
      <c r="L9" s="69">
        <v>154.11600000000001</v>
      </c>
      <c r="M9" s="76">
        <v>154.11600000000001</v>
      </c>
      <c r="N9" s="71">
        <v>0</v>
      </c>
      <c r="O9" s="69">
        <v>154.11600000000001</v>
      </c>
      <c r="P9" s="76">
        <v>154.11600000000001</v>
      </c>
      <c r="R9" s="97"/>
      <c r="S9" s="93" t="s">
        <v>56</v>
      </c>
    </row>
    <row r="10" spans="1:19" ht="15.75" customHeight="1" x14ac:dyDescent="0.2">
      <c r="A10" s="83">
        <v>4</v>
      </c>
      <c r="B10" s="71">
        <v>0</v>
      </c>
      <c r="C10" s="69">
        <v>154.11600000000001</v>
      </c>
      <c r="D10" s="69">
        <v>154.11600000000001</v>
      </c>
      <c r="E10" s="72">
        <v>0</v>
      </c>
      <c r="F10" s="69">
        <v>154.11600000000001</v>
      </c>
      <c r="G10" s="69">
        <v>154.11600000000001</v>
      </c>
      <c r="H10" s="72">
        <v>0</v>
      </c>
      <c r="I10" s="69">
        <v>154.11600000000001</v>
      </c>
      <c r="J10" s="70">
        <v>154.11600000000001</v>
      </c>
      <c r="K10" s="71">
        <v>0</v>
      </c>
      <c r="L10" s="69">
        <v>154.11600000000001</v>
      </c>
      <c r="M10" s="77">
        <v>154.11600000000001</v>
      </c>
      <c r="N10" s="69">
        <v>154.11600000000001</v>
      </c>
      <c r="O10" s="69">
        <v>154.11600000000001</v>
      </c>
      <c r="P10" s="76">
        <v>154.11600000000001</v>
      </c>
      <c r="R10" s="98" t="s">
        <v>57</v>
      </c>
      <c r="S10" s="93">
        <v>154.11600000000001</v>
      </c>
    </row>
    <row r="11" spans="1:19" ht="15.75" customHeight="1" x14ac:dyDescent="0.2">
      <c r="A11" s="83">
        <v>5</v>
      </c>
      <c r="B11" s="69">
        <v>154.11600000000001</v>
      </c>
      <c r="C11" s="69">
        <v>154.11600000000001</v>
      </c>
      <c r="D11" s="69">
        <v>154.11600000000001</v>
      </c>
      <c r="E11" s="71">
        <v>0</v>
      </c>
      <c r="F11" s="69">
        <v>154.11600000000001</v>
      </c>
      <c r="G11" s="70">
        <v>154.11600000000001</v>
      </c>
      <c r="H11" s="71">
        <v>0</v>
      </c>
      <c r="I11" s="69">
        <v>154.11600000000001</v>
      </c>
      <c r="J11" s="72">
        <v>0</v>
      </c>
      <c r="K11" s="69">
        <v>154.11600000000001</v>
      </c>
      <c r="L11" s="69">
        <v>154.11600000000001</v>
      </c>
      <c r="M11" s="84">
        <v>0</v>
      </c>
      <c r="N11" s="69">
        <v>154.11600000000001</v>
      </c>
      <c r="O11" s="70">
        <v>154.11600000000001</v>
      </c>
      <c r="P11" s="77">
        <v>154.11600000000001</v>
      </c>
      <c r="R11" s="99" t="s">
        <v>58</v>
      </c>
      <c r="S11" s="94">
        <v>154.11600000000001</v>
      </c>
    </row>
    <row r="12" spans="1:19" ht="15.75" customHeight="1" x14ac:dyDescent="0.2">
      <c r="A12" s="83">
        <v>6</v>
      </c>
      <c r="B12" s="69">
        <v>154.11600000000001</v>
      </c>
      <c r="C12" s="70">
        <v>154.11600000000001</v>
      </c>
      <c r="D12" s="70">
        <v>154.11600000000001</v>
      </c>
      <c r="E12" s="71">
        <v>0</v>
      </c>
      <c r="F12" s="69">
        <v>154.11600000000001</v>
      </c>
      <c r="G12" s="72">
        <v>0</v>
      </c>
      <c r="H12" s="71">
        <v>0</v>
      </c>
      <c r="I12" s="69">
        <v>154.11600000000001</v>
      </c>
      <c r="J12" s="71">
        <v>0</v>
      </c>
      <c r="K12" s="69">
        <v>154.11600000000001</v>
      </c>
      <c r="L12" s="70">
        <v>154.11600000000001</v>
      </c>
      <c r="M12" s="85">
        <v>0</v>
      </c>
      <c r="N12" s="69">
        <v>154.11600000000001</v>
      </c>
      <c r="O12" s="72">
        <v>0</v>
      </c>
      <c r="P12" s="84">
        <v>0</v>
      </c>
      <c r="R12" s="100">
        <v>6</v>
      </c>
      <c r="S12" s="96" t="s">
        <v>60</v>
      </c>
    </row>
    <row r="13" spans="1:19" ht="15.75" customHeight="1" x14ac:dyDescent="0.2">
      <c r="A13" s="83">
        <v>7</v>
      </c>
      <c r="B13" s="69">
        <v>154.11600000000001</v>
      </c>
      <c r="C13" s="72">
        <v>0</v>
      </c>
      <c r="D13" s="72">
        <v>0</v>
      </c>
      <c r="E13" s="69">
        <v>154.11600000000001</v>
      </c>
      <c r="F13" s="69">
        <v>154.11600000000001</v>
      </c>
      <c r="G13" s="71">
        <v>0</v>
      </c>
      <c r="H13" s="69">
        <v>154.11600000000001</v>
      </c>
      <c r="I13" s="70">
        <v>154.11600000000001</v>
      </c>
      <c r="J13" s="69">
        <v>154.11600000000001</v>
      </c>
      <c r="K13" s="69">
        <v>154.11600000000001</v>
      </c>
      <c r="L13" s="72">
        <v>0</v>
      </c>
      <c r="M13" s="76">
        <v>154.11600000000001</v>
      </c>
      <c r="N13" s="69">
        <v>154.11600000000001</v>
      </c>
      <c r="O13" s="71">
        <v>0</v>
      </c>
      <c r="P13" s="85">
        <v>0</v>
      </c>
      <c r="R13" s="101" t="s">
        <v>59</v>
      </c>
      <c r="S13" s="95" t="s">
        <v>60</v>
      </c>
    </row>
    <row r="14" spans="1:19" ht="15.75" customHeight="1" x14ac:dyDescent="0.2">
      <c r="A14" s="83">
        <v>8</v>
      </c>
      <c r="B14" s="69">
        <v>154.11600000000001</v>
      </c>
      <c r="C14" s="71">
        <v>0</v>
      </c>
      <c r="D14" s="71">
        <v>0</v>
      </c>
      <c r="E14" s="69">
        <v>154.11600000000001</v>
      </c>
      <c r="F14" s="70">
        <v>154.11600000000001</v>
      </c>
      <c r="G14" s="69">
        <v>154.11600000000001</v>
      </c>
      <c r="H14" s="69">
        <v>154.11600000000001</v>
      </c>
      <c r="I14" s="72">
        <v>0</v>
      </c>
      <c r="J14" s="69">
        <v>154.11600000000001</v>
      </c>
      <c r="K14" s="69">
        <v>154.11600000000001</v>
      </c>
      <c r="L14" s="71">
        <v>0</v>
      </c>
      <c r="M14" s="76">
        <v>154.11600000000001</v>
      </c>
      <c r="N14" s="70">
        <v>154.11600000000001</v>
      </c>
      <c r="O14" s="69">
        <v>154.11600000000001</v>
      </c>
      <c r="P14" s="76">
        <v>154.11600000000001</v>
      </c>
    </row>
    <row r="15" spans="1:19" ht="15.75" customHeight="1" x14ac:dyDescent="0.2">
      <c r="A15" s="83">
        <v>9</v>
      </c>
      <c r="B15" s="70">
        <v>154.11600000000001</v>
      </c>
      <c r="C15" s="69">
        <v>154.11600000000001</v>
      </c>
      <c r="D15" s="69">
        <v>154.11600000000001</v>
      </c>
      <c r="E15" s="69">
        <v>154.11600000000001</v>
      </c>
      <c r="F15" s="72">
        <v>0</v>
      </c>
      <c r="G15" s="69">
        <v>154.11600000000001</v>
      </c>
      <c r="H15" s="69">
        <v>154.11600000000001</v>
      </c>
      <c r="I15" s="71">
        <v>0</v>
      </c>
      <c r="J15" s="69">
        <v>154.11600000000001</v>
      </c>
      <c r="K15" s="70">
        <v>154.11600000000001</v>
      </c>
      <c r="L15" s="69">
        <v>154.11600000000001</v>
      </c>
      <c r="M15" s="76">
        <v>154.11600000000001</v>
      </c>
      <c r="N15" s="72">
        <v>0</v>
      </c>
      <c r="O15" s="69">
        <v>154.11600000000001</v>
      </c>
      <c r="P15" s="76">
        <v>154.11600000000001</v>
      </c>
    </row>
    <row r="16" spans="1:19" ht="15.75" customHeight="1" x14ac:dyDescent="0.2">
      <c r="A16" s="83">
        <v>10</v>
      </c>
      <c r="B16" s="72">
        <v>0</v>
      </c>
      <c r="C16" s="69">
        <v>154.11600000000001</v>
      </c>
      <c r="D16" s="69">
        <v>154.11600000000001</v>
      </c>
      <c r="E16" s="70">
        <v>154.11600000000001</v>
      </c>
      <c r="F16" s="71">
        <v>0</v>
      </c>
      <c r="G16" s="69">
        <v>154.11600000000001</v>
      </c>
      <c r="H16" s="70">
        <v>154.11600000000001</v>
      </c>
      <c r="I16" s="69">
        <v>154.11600000000001</v>
      </c>
      <c r="J16" s="69">
        <v>154.11600000000001</v>
      </c>
      <c r="K16" s="72">
        <v>0</v>
      </c>
      <c r="L16" s="69">
        <v>154.11600000000001</v>
      </c>
      <c r="M16" s="76">
        <v>154.11600000000001</v>
      </c>
      <c r="N16" s="71">
        <v>0</v>
      </c>
      <c r="O16" s="69">
        <v>154.11600000000001</v>
      </c>
      <c r="P16" s="76">
        <v>154.11600000000001</v>
      </c>
    </row>
    <row r="17" spans="1:16" ht="15.75" customHeight="1" x14ac:dyDescent="0.2">
      <c r="A17" s="83">
        <v>11</v>
      </c>
      <c r="B17" s="71">
        <v>0</v>
      </c>
      <c r="C17" s="69">
        <v>154.11600000000001</v>
      </c>
      <c r="D17" s="71">
        <v>0</v>
      </c>
      <c r="E17" s="72">
        <v>0</v>
      </c>
      <c r="F17" s="69">
        <v>154.11600000000001</v>
      </c>
      <c r="G17" s="69">
        <v>154.11600000000001</v>
      </c>
      <c r="H17" s="72">
        <v>0</v>
      </c>
      <c r="I17" s="69">
        <v>154.11600000000001</v>
      </c>
      <c r="J17" s="70">
        <v>154.11600000000001</v>
      </c>
      <c r="K17" s="71">
        <v>0</v>
      </c>
      <c r="L17" s="69">
        <v>154.11600000000001</v>
      </c>
      <c r="M17" s="77">
        <v>154.11600000000001</v>
      </c>
      <c r="N17" s="69">
        <v>154.11600000000001</v>
      </c>
      <c r="O17" s="69">
        <v>154.11600000000001</v>
      </c>
      <c r="P17" s="85">
        <v>0</v>
      </c>
    </row>
    <row r="18" spans="1:16" ht="15.75" customHeight="1" x14ac:dyDescent="0.2">
      <c r="A18" s="83">
        <v>12</v>
      </c>
      <c r="B18" s="69">
        <v>154.11600000000001</v>
      </c>
      <c r="C18" s="69">
        <v>154.11600000000001</v>
      </c>
      <c r="D18" s="69">
        <v>154.11600000000001</v>
      </c>
      <c r="E18" s="71">
        <v>0</v>
      </c>
      <c r="F18" s="69">
        <v>154.11600000000001</v>
      </c>
      <c r="G18" s="70">
        <v>154.11600000000001</v>
      </c>
      <c r="H18" s="71">
        <v>0</v>
      </c>
      <c r="I18" s="69">
        <v>154.11600000000001</v>
      </c>
      <c r="J18" s="72">
        <v>0</v>
      </c>
      <c r="K18" s="69">
        <v>154.11600000000001</v>
      </c>
      <c r="L18" s="69">
        <v>154.11600000000001</v>
      </c>
      <c r="M18" s="84">
        <v>0</v>
      </c>
      <c r="N18" s="69">
        <v>154.11600000000001</v>
      </c>
      <c r="O18" s="70">
        <v>154.11600000000001</v>
      </c>
      <c r="P18" s="77">
        <v>154.11600000000001</v>
      </c>
    </row>
    <row r="19" spans="1:16" ht="15.75" customHeight="1" x14ac:dyDescent="0.2">
      <c r="A19" s="83">
        <v>13</v>
      </c>
      <c r="B19" s="69">
        <v>154.11600000000001</v>
      </c>
      <c r="C19" s="70">
        <v>154.11600000000001</v>
      </c>
      <c r="D19" s="70">
        <v>154.11600000000001</v>
      </c>
      <c r="E19" s="69">
        <v>154.11600000000001</v>
      </c>
      <c r="F19" s="69">
        <v>154.11600000000001</v>
      </c>
      <c r="G19" s="72">
        <v>0</v>
      </c>
      <c r="H19" s="69">
        <v>154.11600000000001</v>
      </c>
      <c r="I19" s="69">
        <v>154.11600000000001</v>
      </c>
      <c r="J19" s="71">
        <v>0</v>
      </c>
      <c r="K19" s="69">
        <v>154.11600000000001</v>
      </c>
      <c r="L19" s="70">
        <v>154.11600000000001</v>
      </c>
      <c r="M19" s="85">
        <v>0</v>
      </c>
      <c r="N19" s="69">
        <v>154.11600000000001</v>
      </c>
      <c r="O19" s="72">
        <v>0</v>
      </c>
      <c r="P19" s="84">
        <v>0</v>
      </c>
    </row>
    <row r="20" spans="1:16" ht="15.75" customHeight="1" x14ac:dyDescent="0.2">
      <c r="A20" s="83">
        <v>14</v>
      </c>
      <c r="B20" s="69">
        <v>154.11600000000001</v>
      </c>
      <c r="C20" s="72">
        <v>0</v>
      </c>
      <c r="D20" s="72">
        <v>0</v>
      </c>
      <c r="E20" s="69">
        <v>154.11600000000001</v>
      </c>
      <c r="F20" s="69">
        <v>154.11600000000001</v>
      </c>
      <c r="G20" s="71">
        <v>0</v>
      </c>
      <c r="H20" s="69">
        <v>154.11600000000001</v>
      </c>
      <c r="I20" s="70">
        <v>154.11600000000001</v>
      </c>
      <c r="J20" s="69">
        <v>154.11600000000001</v>
      </c>
      <c r="K20" s="69">
        <v>154.11600000000001</v>
      </c>
      <c r="L20" s="72">
        <v>0</v>
      </c>
      <c r="M20" s="76">
        <v>154.11600000000001</v>
      </c>
      <c r="N20" s="69">
        <v>154.11600000000001</v>
      </c>
      <c r="O20" s="71">
        <v>0</v>
      </c>
      <c r="P20" s="85">
        <v>0</v>
      </c>
    </row>
    <row r="21" spans="1:16" ht="15.75" customHeight="1" x14ac:dyDescent="0.2">
      <c r="A21" s="83">
        <v>15</v>
      </c>
      <c r="B21" s="69">
        <v>154.11600000000001</v>
      </c>
      <c r="C21" s="71">
        <v>0</v>
      </c>
      <c r="D21" s="71">
        <v>0</v>
      </c>
      <c r="E21" s="69">
        <v>154.11600000000001</v>
      </c>
      <c r="F21" s="70">
        <v>154.11600000000001</v>
      </c>
      <c r="G21" s="69">
        <v>154.11600000000001</v>
      </c>
      <c r="H21" s="69">
        <v>154.11600000000001</v>
      </c>
      <c r="I21" s="71">
        <v>0</v>
      </c>
      <c r="J21" s="69">
        <v>154.11600000000001</v>
      </c>
      <c r="K21" s="69">
        <v>154.11600000000001</v>
      </c>
      <c r="L21" s="71">
        <v>0</v>
      </c>
      <c r="M21" s="76">
        <v>154.11600000000001</v>
      </c>
      <c r="N21" s="70">
        <v>154.11600000000001</v>
      </c>
      <c r="O21" s="69">
        <v>154.11600000000001</v>
      </c>
      <c r="P21" s="76">
        <v>154.11600000000001</v>
      </c>
    </row>
    <row r="22" spans="1:16" ht="15.75" customHeight="1" x14ac:dyDescent="0.2">
      <c r="A22" s="83">
        <v>16</v>
      </c>
      <c r="B22" s="70">
        <v>154.11600000000001</v>
      </c>
      <c r="C22" s="71">
        <v>0</v>
      </c>
      <c r="D22" s="69">
        <v>154.11600000000001</v>
      </c>
      <c r="E22" s="69">
        <v>154.11600000000001</v>
      </c>
      <c r="F22" s="72">
        <v>0</v>
      </c>
      <c r="G22" s="69">
        <v>154.11600000000001</v>
      </c>
      <c r="H22" s="69">
        <v>154.11600000000001</v>
      </c>
      <c r="I22" s="71">
        <v>0</v>
      </c>
      <c r="J22" s="69">
        <v>154.11600000000001</v>
      </c>
      <c r="K22" s="70">
        <v>154.11600000000001</v>
      </c>
      <c r="L22" s="69">
        <v>154.11600000000001</v>
      </c>
      <c r="M22" s="76">
        <v>154.11600000000001</v>
      </c>
      <c r="N22" s="72">
        <v>0</v>
      </c>
      <c r="O22" s="71">
        <v>0</v>
      </c>
      <c r="P22" s="76">
        <v>154.11600000000001</v>
      </c>
    </row>
    <row r="23" spans="1:16" ht="15.75" customHeight="1" x14ac:dyDescent="0.2">
      <c r="A23" s="83">
        <v>17</v>
      </c>
      <c r="B23" s="72">
        <v>0</v>
      </c>
      <c r="C23" s="69">
        <v>154.11600000000001</v>
      </c>
      <c r="D23" s="69">
        <v>154.11600000000001</v>
      </c>
      <c r="E23" s="70">
        <v>154.11600000000001</v>
      </c>
      <c r="F23" s="71">
        <v>0</v>
      </c>
      <c r="G23" s="69">
        <v>154.11600000000001</v>
      </c>
      <c r="H23" s="70">
        <v>154.11600000000001</v>
      </c>
      <c r="I23" s="69">
        <v>154.11600000000001</v>
      </c>
      <c r="J23" s="69">
        <v>154.11600000000001</v>
      </c>
      <c r="K23" s="72">
        <v>0</v>
      </c>
      <c r="L23" s="69">
        <v>154.11600000000001</v>
      </c>
      <c r="M23" s="76">
        <v>154.11600000000001</v>
      </c>
      <c r="N23" s="71">
        <v>0</v>
      </c>
      <c r="O23" s="69">
        <v>154.11600000000001</v>
      </c>
      <c r="P23" s="76">
        <v>154.11600000000001</v>
      </c>
    </row>
    <row r="24" spans="1:16" ht="15.75" customHeight="1" x14ac:dyDescent="0.2">
      <c r="A24" s="83">
        <v>18</v>
      </c>
      <c r="B24" s="71">
        <v>0</v>
      </c>
      <c r="C24" s="69">
        <v>154.11600000000001</v>
      </c>
      <c r="D24" s="69">
        <v>154.11600000000001</v>
      </c>
      <c r="E24" s="72">
        <v>0</v>
      </c>
      <c r="F24" s="69">
        <v>154.11600000000001</v>
      </c>
      <c r="G24" s="69">
        <v>154.11600000000001</v>
      </c>
      <c r="H24" s="72">
        <v>0</v>
      </c>
      <c r="I24" s="69">
        <v>154.11600000000001</v>
      </c>
      <c r="J24" s="70">
        <v>154.11600000000001</v>
      </c>
      <c r="K24" s="71">
        <v>0</v>
      </c>
      <c r="L24" s="69">
        <v>154.11600000000001</v>
      </c>
      <c r="M24" s="77">
        <v>154.11600000000001</v>
      </c>
      <c r="N24" s="69">
        <v>154.11600000000001</v>
      </c>
      <c r="O24" s="69">
        <v>154.11600000000001</v>
      </c>
      <c r="P24" s="103"/>
    </row>
    <row r="25" spans="1:16" ht="15.75" customHeight="1" x14ac:dyDescent="0.2">
      <c r="A25" s="83">
        <v>19</v>
      </c>
      <c r="B25" s="69">
        <v>154.11600000000001</v>
      </c>
      <c r="C25" s="69">
        <v>154.11600000000001</v>
      </c>
      <c r="D25" s="69">
        <v>154.11600000000001</v>
      </c>
      <c r="E25" s="71">
        <v>0</v>
      </c>
      <c r="F25" s="69">
        <v>154.11600000000001</v>
      </c>
      <c r="G25" s="70">
        <v>154.11600000000001</v>
      </c>
      <c r="H25" s="71">
        <v>0</v>
      </c>
      <c r="I25" s="69">
        <v>154.11600000000001</v>
      </c>
      <c r="J25" s="72">
        <v>0</v>
      </c>
      <c r="K25" s="69">
        <v>154.11600000000001</v>
      </c>
      <c r="L25" s="69">
        <v>154.11600000000001</v>
      </c>
      <c r="M25" s="84">
        <v>0</v>
      </c>
      <c r="N25" s="69">
        <v>154.11600000000001</v>
      </c>
      <c r="O25" s="70">
        <v>154.11600000000001</v>
      </c>
      <c r="P25" s="103"/>
    </row>
    <row r="26" spans="1:16" ht="15.75" customHeight="1" x14ac:dyDescent="0.2">
      <c r="A26" s="83">
        <v>20</v>
      </c>
      <c r="B26" s="69">
        <v>154.11600000000001</v>
      </c>
      <c r="C26" s="70">
        <v>154.11600000000001</v>
      </c>
      <c r="D26" s="70">
        <v>154.11600000000001</v>
      </c>
      <c r="E26" s="69">
        <v>154.11600000000001</v>
      </c>
      <c r="F26" s="69">
        <v>154.11600000000001</v>
      </c>
      <c r="G26" s="72">
        <v>0</v>
      </c>
      <c r="H26" s="69">
        <v>154.11600000000001</v>
      </c>
      <c r="I26" s="69">
        <v>154.11600000000001</v>
      </c>
      <c r="J26" s="71">
        <v>0</v>
      </c>
      <c r="K26" s="69">
        <v>154.11600000000001</v>
      </c>
      <c r="L26" s="70">
        <v>154.11600000000001</v>
      </c>
      <c r="M26" s="85">
        <v>0</v>
      </c>
      <c r="N26" s="69">
        <v>154.11600000000001</v>
      </c>
      <c r="O26" s="72">
        <v>0</v>
      </c>
      <c r="P26" s="103"/>
    </row>
    <row r="27" spans="1:16" ht="15.75" customHeight="1" x14ac:dyDescent="0.2">
      <c r="A27" s="83">
        <v>21</v>
      </c>
      <c r="B27" s="69">
        <v>154.11600000000001</v>
      </c>
      <c r="C27" s="72">
        <v>0</v>
      </c>
      <c r="D27" s="72">
        <v>0</v>
      </c>
      <c r="E27" s="69">
        <v>154.11600000000001</v>
      </c>
      <c r="F27" s="69">
        <v>154.11600000000001</v>
      </c>
      <c r="G27" s="71">
        <v>0</v>
      </c>
      <c r="H27" s="69">
        <v>154.11600000000001</v>
      </c>
      <c r="I27" s="70">
        <v>154.11600000000001</v>
      </c>
      <c r="J27" s="69">
        <v>154.11600000000001</v>
      </c>
      <c r="K27" s="69">
        <v>154.11600000000001</v>
      </c>
      <c r="L27" s="72">
        <v>0</v>
      </c>
      <c r="M27" s="76">
        <v>154.11600000000001</v>
      </c>
      <c r="N27" s="69">
        <v>154.11600000000001</v>
      </c>
      <c r="O27" s="71">
        <v>0</v>
      </c>
      <c r="P27" s="103"/>
    </row>
    <row r="28" spans="1:16" ht="15.75" customHeight="1" x14ac:dyDescent="0.2">
      <c r="A28" s="83">
        <v>22</v>
      </c>
      <c r="B28" s="69">
        <v>154.11600000000001</v>
      </c>
      <c r="C28" s="71">
        <v>0</v>
      </c>
      <c r="D28" s="71">
        <v>0</v>
      </c>
      <c r="E28" s="69">
        <v>154.11600000000001</v>
      </c>
      <c r="F28" s="70">
        <v>154.11600000000001</v>
      </c>
      <c r="G28" s="69">
        <v>154.11600000000001</v>
      </c>
      <c r="H28" s="69">
        <v>154.11600000000001</v>
      </c>
      <c r="I28" s="72">
        <v>0</v>
      </c>
      <c r="J28" s="69">
        <v>154.11600000000001</v>
      </c>
      <c r="K28" s="69">
        <v>154.11600000000001</v>
      </c>
      <c r="L28" s="71">
        <v>0</v>
      </c>
      <c r="M28" s="76">
        <v>154.11600000000001</v>
      </c>
      <c r="N28" s="70">
        <v>154.11600000000001</v>
      </c>
      <c r="O28" s="69">
        <v>154.11600000000001</v>
      </c>
      <c r="P28" s="103"/>
    </row>
    <row r="29" spans="1:16" ht="15.75" customHeight="1" x14ac:dyDescent="0.2">
      <c r="A29" s="83">
        <v>23</v>
      </c>
      <c r="B29" s="70">
        <v>154.11600000000001</v>
      </c>
      <c r="C29" s="69">
        <v>154.11600000000001</v>
      </c>
      <c r="D29" s="69">
        <v>154.11600000000001</v>
      </c>
      <c r="E29" s="69">
        <v>154.11600000000001</v>
      </c>
      <c r="F29" s="72">
        <v>0</v>
      </c>
      <c r="G29" s="69">
        <v>154.11600000000001</v>
      </c>
      <c r="H29" s="69">
        <v>154.11600000000001</v>
      </c>
      <c r="I29" s="71">
        <v>0</v>
      </c>
      <c r="J29" s="69">
        <v>154.11600000000001</v>
      </c>
      <c r="K29" s="70">
        <v>154.11600000000001</v>
      </c>
      <c r="L29" s="69">
        <v>154.11600000000001</v>
      </c>
      <c r="M29" s="76">
        <v>154.11600000000001</v>
      </c>
      <c r="N29" s="72">
        <v>0</v>
      </c>
      <c r="O29" s="69">
        <v>154.11600000000001</v>
      </c>
      <c r="P29" s="103"/>
    </row>
    <row r="30" spans="1:16" ht="15.75" customHeight="1" x14ac:dyDescent="0.2">
      <c r="A30" s="83">
        <v>24</v>
      </c>
      <c r="B30" s="72">
        <v>0</v>
      </c>
      <c r="C30" s="69">
        <v>154.11600000000001</v>
      </c>
      <c r="D30" s="69">
        <v>154.11600000000001</v>
      </c>
      <c r="E30" s="70">
        <v>154.11600000000001</v>
      </c>
      <c r="F30" s="71">
        <v>0</v>
      </c>
      <c r="G30" s="71">
        <v>0</v>
      </c>
      <c r="H30" s="70">
        <v>154.11600000000001</v>
      </c>
      <c r="I30" s="69">
        <v>154.11600000000001</v>
      </c>
      <c r="J30" s="69">
        <v>154.11600000000001</v>
      </c>
      <c r="K30" s="72">
        <v>0</v>
      </c>
      <c r="L30" s="69">
        <v>154.11600000000001</v>
      </c>
      <c r="M30" s="85">
        <v>0</v>
      </c>
      <c r="N30" s="71">
        <v>0</v>
      </c>
      <c r="O30" s="69">
        <v>154.11600000000001</v>
      </c>
      <c r="P30" s="103"/>
    </row>
    <row r="31" spans="1:16" ht="15.75" customHeight="1" x14ac:dyDescent="0.2">
      <c r="A31" s="83">
        <v>25</v>
      </c>
      <c r="B31" s="71">
        <v>0</v>
      </c>
      <c r="C31" s="69">
        <v>154.11600000000001</v>
      </c>
      <c r="D31" s="69">
        <v>154.11600000000001</v>
      </c>
      <c r="E31" s="72">
        <v>0</v>
      </c>
      <c r="F31" s="69">
        <v>154.11600000000001</v>
      </c>
      <c r="G31" s="69">
        <v>154.11600000000001</v>
      </c>
      <c r="H31" s="72">
        <v>0</v>
      </c>
      <c r="I31" s="69">
        <v>154.11600000000001</v>
      </c>
      <c r="J31" s="70">
        <v>154.11600000000001</v>
      </c>
      <c r="K31" s="71">
        <v>0</v>
      </c>
      <c r="L31" s="69">
        <v>154.11600000000001</v>
      </c>
      <c r="M31" s="85">
        <v>0</v>
      </c>
      <c r="N31" s="69">
        <v>154.11600000000001</v>
      </c>
      <c r="O31" s="69">
        <v>154.11600000000001</v>
      </c>
      <c r="P31" s="103"/>
    </row>
    <row r="32" spans="1:16" ht="15.75" customHeight="1" x14ac:dyDescent="0.2">
      <c r="A32" s="83">
        <v>26</v>
      </c>
      <c r="B32" s="69">
        <v>154.11600000000001</v>
      </c>
      <c r="C32" s="69">
        <v>154.11600000000001</v>
      </c>
      <c r="D32" s="69">
        <v>154.11600000000001</v>
      </c>
      <c r="E32" s="71">
        <v>0</v>
      </c>
      <c r="F32" s="69">
        <v>154.11600000000001</v>
      </c>
      <c r="G32" s="70">
        <v>154.11600000000001</v>
      </c>
      <c r="H32" s="71">
        <v>0</v>
      </c>
      <c r="I32" s="69">
        <v>154.11600000000001</v>
      </c>
      <c r="J32" s="72">
        <v>0</v>
      </c>
      <c r="K32" s="69">
        <v>154.11600000000001</v>
      </c>
      <c r="L32" s="69">
        <v>154.11600000000001</v>
      </c>
      <c r="M32" s="85">
        <v>0</v>
      </c>
      <c r="N32" s="69">
        <v>154.11600000000001</v>
      </c>
      <c r="O32" s="70">
        <v>154.11600000000001</v>
      </c>
      <c r="P32" s="103"/>
    </row>
    <row r="33" spans="1:16" ht="15.75" customHeight="1" x14ac:dyDescent="0.2">
      <c r="A33" s="83">
        <v>27</v>
      </c>
      <c r="B33" s="69">
        <v>154.11600000000001</v>
      </c>
      <c r="C33" s="70">
        <v>154.11600000000001</v>
      </c>
      <c r="D33" s="70">
        <v>154.11600000000001</v>
      </c>
      <c r="E33" s="69">
        <v>154.11600000000001</v>
      </c>
      <c r="F33" s="69">
        <v>154.11600000000001</v>
      </c>
      <c r="G33" s="72">
        <v>0</v>
      </c>
      <c r="H33" s="69">
        <v>154.11600000000001</v>
      </c>
      <c r="I33" s="69">
        <v>154.11600000000001</v>
      </c>
      <c r="J33" s="71">
        <v>0</v>
      </c>
      <c r="K33" s="69">
        <v>154.11600000000001</v>
      </c>
      <c r="L33" s="70">
        <v>154.11600000000001</v>
      </c>
      <c r="M33" s="85">
        <v>0</v>
      </c>
      <c r="N33" s="69">
        <v>154.11600000000001</v>
      </c>
      <c r="O33" s="72">
        <v>0</v>
      </c>
      <c r="P33" s="103"/>
    </row>
    <row r="34" spans="1:16" ht="15.75" customHeight="1" x14ac:dyDescent="0.2">
      <c r="A34" s="83">
        <v>28</v>
      </c>
      <c r="B34" s="69">
        <v>154.11600000000001</v>
      </c>
      <c r="C34" s="75">
        <v>0</v>
      </c>
      <c r="D34" s="72">
        <v>0</v>
      </c>
      <c r="E34" s="69">
        <v>154.11600000000001</v>
      </c>
      <c r="F34" s="69">
        <v>154.11600000000001</v>
      </c>
      <c r="G34" s="71">
        <v>0</v>
      </c>
      <c r="H34" s="69">
        <v>154.11600000000001</v>
      </c>
      <c r="I34" s="70">
        <v>154.11600000000001</v>
      </c>
      <c r="J34" s="69">
        <v>154.11600000000001</v>
      </c>
      <c r="K34" s="69">
        <v>154.11600000000001</v>
      </c>
      <c r="L34" s="72">
        <v>0</v>
      </c>
      <c r="M34" s="76">
        <v>154.11600000000001</v>
      </c>
      <c r="N34" s="76">
        <v>154.11600000000001</v>
      </c>
      <c r="O34" s="79">
        <v>0</v>
      </c>
      <c r="P34" s="103"/>
    </row>
    <row r="35" spans="1:16" ht="15.75" customHeight="1" x14ac:dyDescent="0.2">
      <c r="A35" s="83">
        <v>29</v>
      </c>
      <c r="B35" s="76">
        <v>154.11600000000001</v>
      </c>
      <c r="C35" s="73"/>
      <c r="D35" s="79">
        <v>0</v>
      </c>
      <c r="E35" s="69">
        <v>154.11600000000001</v>
      </c>
      <c r="F35" s="70">
        <v>154.11600000000001</v>
      </c>
      <c r="G35" s="69">
        <v>154.11600000000001</v>
      </c>
      <c r="H35" s="69">
        <v>154.11600000000001</v>
      </c>
      <c r="I35" s="72">
        <v>0</v>
      </c>
      <c r="J35" s="69">
        <v>154.11600000000001</v>
      </c>
      <c r="K35" s="69">
        <v>154.11600000000001</v>
      </c>
      <c r="L35" s="71">
        <v>0</v>
      </c>
      <c r="M35" s="76">
        <v>154.11600000000001</v>
      </c>
      <c r="N35" s="106">
        <v>154.11600000000001</v>
      </c>
      <c r="P35" s="104"/>
    </row>
    <row r="36" spans="1:16" ht="15.75" customHeight="1" x14ac:dyDescent="0.2">
      <c r="A36" s="83">
        <v>30</v>
      </c>
      <c r="B36" s="77">
        <v>154.11600000000001</v>
      </c>
      <c r="C36" s="73"/>
      <c r="D36" s="80">
        <v>154.11600000000001</v>
      </c>
      <c r="E36" s="69">
        <v>154.11600000000001</v>
      </c>
      <c r="F36" s="72">
        <v>0</v>
      </c>
      <c r="G36" s="74">
        <v>154.11600000000001</v>
      </c>
      <c r="H36" s="69">
        <v>154.11600000000001</v>
      </c>
      <c r="I36" s="71">
        <v>0</v>
      </c>
      <c r="J36" s="74">
        <v>154.11600000000001</v>
      </c>
      <c r="K36" s="70">
        <v>154.11600000000001</v>
      </c>
      <c r="L36" s="74">
        <v>154.11600000000001</v>
      </c>
      <c r="M36" s="76">
        <v>154.11600000000001</v>
      </c>
      <c r="N36" s="107">
        <v>0</v>
      </c>
      <c r="P36" s="104"/>
    </row>
    <row r="37" spans="1:16" ht="15.75" customHeight="1" x14ac:dyDescent="0.2">
      <c r="A37" s="83">
        <v>31</v>
      </c>
      <c r="B37" s="78">
        <v>0</v>
      </c>
      <c r="C37" s="73"/>
      <c r="D37" s="81">
        <v>154.11600000000001</v>
      </c>
      <c r="E37" s="82"/>
      <c r="F37" s="88">
        <v>0</v>
      </c>
      <c r="G37" s="73"/>
      <c r="H37" s="89">
        <v>154.11600000000001</v>
      </c>
      <c r="I37" s="87">
        <v>154.11600000000001</v>
      </c>
      <c r="J37" s="73"/>
      <c r="K37" s="91">
        <v>0</v>
      </c>
      <c r="L37" s="90"/>
      <c r="M37" s="86">
        <v>154.11600000000001</v>
      </c>
      <c r="N37" s="88">
        <v>0</v>
      </c>
      <c r="P37" s="105"/>
    </row>
    <row r="38" spans="1:16" ht="15.75" customHeight="1" x14ac:dyDescent="0.2">
      <c r="A38" s="68"/>
      <c r="B38" s="69">
        <f>SUM(B7:B37)</f>
        <v>3236.4360000000001</v>
      </c>
      <c r="C38" s="69">
        <f t="shared" ref="C38:P38" si="0">SUM(C7:C37)</f>
        <v>2928.2040000000002</v>
      </c>
      <c r="D38" s="69">
        <f t="shared" si="0"/>
        <v>3236.4360000000001</v>
      </c>
      <c r="E38" s="69">
        <f t="shared" si="0"/>
        <v>3236.4360000000001</v>
      </c>
      <c r="F38" s="69">
        <f t="shared" si="0"/>
        <v>3082.32</v>
      </c>
      <c r="G38" s="69">
        <f t="shared" si="0"/>
        <v>3236.4360000000001</v>
      </c>
      <c r="H38" s="69">
        <f t="shared" si="0"/>
        <v>3390.5520000000001</v>
      </c>
      <c r="I38" s="69">
        <f t="shared" si="0"/>
        <v>3236.4360000000001</v>
      </c>
      <c r="J38" s="69">
        <f t="shared" si="0"/>
        <v>3390.5520000000001</v>
      </c>
      <c r="K38" s="69">
        <f t="shared" si="0"/>
        <v>3390.5520000000001</v>
      </c>
      <c r="L38" s="69">
        <f t="shared" si="0"/>
        <v>3082.32</v>
      </c>
      <c r="M38" s="69">
        <f t="shared" si="0"/>
        <v>3236.4360000000001</v>
      </c>
      <c r="N38" s="69">
        <f t="shared" si="0"/>
        <v>3082.32</v>
      </c>
      <c r="O38" s="69">
        <f t="shared" si="0"/>
        <v>2928.2040000000002</v>
      </c>
      <c r="P38" s="69">
        <f t="shared" si="0"/>
        <v>1849.3920000000001</v>
      </c>
    </row>
    <row r="39" spans="1:16" ht="15.75" customHeight="1" thickBot="1" x14ac:dyDescent="0.25"/>
    <row r="40" spans="1:16" ht="15.75" customHeight="1" thickBot="1" x14ac:dyDescent="0.25">
      <c r="A40" s="67" t="s">
        <v>76</v>
      </c>
      <c r="B40" s="108">
        <f>SUM(B38:P38)</f>
        <v>46543.031999999999</v>
      </c>
      <c r="C40" s="66"/>
    </row>
  </sheetData>
  <mergeCells count="3">
    <mergeCell ref="F5:J5"/>
    <mergeCell ref="B5:E5"/>
    <mergeCell ref="K5:P5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AD16"/>
  <sheetViews>
    <sheetView view="pageBreakPreview" zoomScale="60" zoomScaleNormal="100" workbookViewId="0">
      <selection activeCell="V33" sqref="V33"/>
    </sheetView>
  </sheetViews>
  <sheetFormatPr defaultColWidth="6" defaultRowHeight="12.75" x14ac:dyDescent="0.2"/>
  <cols>
    <col min="1" max="17" width="5.5703125" style="1" customWidth="1"/>
    <col min="18" max="18" width="6.42578125" style="1" customWidth="1"/>
    <col min="19" max="19" width="5.5703125" style="1" customWidth="1"/>
    <col min="20" max="20" width="6.5703125" style="1" customWidth="1"/>
    <col min="21" max="21" width="5.5703125" style="1" customWidth="1"/>
    <col min="22" max="22" width="6.85546875" style="1" customWidth="1"/>
    <col min="23" max="25" width="5.5703125" style="1" customWidth="1"/>
    <col min="26" max="26" width="6.42578125" style="1" customWidth="1"/>
    <col min="27" max="27" width="5.5703125" style="1" customWidth="1"/>
    <col min="28" max="28" width="6.42578125" style="1" customWidth="1"/>
    <col min="29" max="29" width="6" style="1" customWidth="1"/>
    <col min="30" max="30" width="6.42578125" style="1" customWidth="1"/>
    <col min="31" max="34" width="5.5703125" style="1" customWidth="1"/>
    <col min="35" max="35" width="6.7109375" style="1" customWidth="1"/>
    <col min="36" max="72" width="6" style="1" customWidth="1"/>
    <col min="73" max="73" width="5.7109375" style="1" bestFit="1" customWidth="1"/>
    <col min="74" max="16384" width="6" style="1"/>
  </cols>
  <sheetData>
    <row r="1" spans="1:30" ht="12.75" customHeight="1" x14ac:dyDescent="0.2">
      <c r="A1" s="127">
        <v>45946.492222222223</v>
      </c>
      <c r="B1" s="127"/>
      <c r="C1" s="127"/>
      <c r="D1" s="127"/>
    </row>
    <row r="2" spans="1:30" ht="12.75" customHeight="1" x14ac:dyDescent="0.2">
      <c r="H2" s="14" t="s">
        <v>43</v>
      </c>
      <c r="Y2" s="128" t="s">
        <v>61</v>
      </c>
      <c r="Z2" s="128"/>
      <c r="AA2" s="128"/>
      <c r="AB2" s="128"/>
    </row>
    <row r="3" spans="1:30" ht="38.25" customHeight="1" thickBot="1" x14ac:dyDescent="0.25">
      <c r="A3" s="129" t="s">
        <v>44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</row>
    <row r="4" spans="1:30" s="7" customFormat="1" ht="69" customHeight="1" thickBot="1" x14ac:dyDescent="0.25">
      <c r="A4" s="4" t="s">
        <v>0</v>
      </c>
      <c r="B4" s="120" t="s">
        <v>40</v>
      </c>
      <c r="C4" s="112" t="s">
        <v>41</v>
      </c>
      <c r="D4" s="120" t="s">
        <v>40</v>
      </c>
      <c r="E4" s="112" t="s">
        <v>41</v>
      </c>
      <c r="F4" s="120" t="s">
        <v>40</v>
      </c>
      <c r="G4" s="120" t="s">
        <v>42</v>
      </c>
      <c r="H4" s="112" t="s">
        <v>41</v>
      </c>
      <c r="I4" s="120" t="s">
        <v>42</v>
      </c>
      <c r="J4" s="112" t="s">
        <v>41</v>
      </c>
      <c r="K4" s="120" t="s">
        <v>42</v>
      </c>
      <c r="L4" s="112" t="s">
        <v>41</v>
      </c>
      <c r="M4" s="120" t="s">
        <v>42</v>
      </c>
      <c r="N4" s="112" t="s">
        <v>41</v>
      </c>
      <c r="O4" s="120" t="s">
        <v>42</v>
      </c>
      <c r="P4" s="112" t="s">
        <v>41</v>
      </c>
      <c r="Q4" s="120" t="s">
        <v>42</v>
      </c>
      <c r="R4" s="112" t="s">
        <v>41</v>
      </c>
      <c r="S4" s="120" t="s">
        <v>42</v>
      </c>
      <c r="T4" s="112" t="s">
        <v>41</v>
      </c>
      <c r="U4" s="120" t="s">
        <v>42</v>
      </c>
      <c r="V4" s="6" t="s">
        <v>1</v>
      </c>
      <c r="W4" s="15"/>
    </row>
    <row r="5" spans="1:30" s="10" customFormat="1" ht="25.5" x14ac:dyDescent="0.2">
      <c r="A5" s="8" t="s">
        <v>38</v>
      </c>
      <c r="B5" s="111">
        <v>0.2951388888888889</v>
      </c>
      <c r="C5" s="111">
        <v>0.32500000000000001</v>
      </c>
      <c r="D5" s="111" t="s">
        <v>47</v>
      </c>
      <c r="E5" s="111">
        <v>0.36805555555555558</v>
      </c>
      <c r="F5" s="111" t="s">
        <v>48</v>
      </c>
      <c r="G5" s="111">
        <v>0.5</v>
      </c>
      <c r="H5" s="111">
        <v>0.52361111111111114</v>
      </c>
      <c r="I5" s="111" t="s">
        <v>49</v>
      </c>
      <c r="J5" s="111">
        <v>0.57222222222222219</v>
      </c>
      <c r="K5" s="111" t="s">
        <v>50</v>
      </c>
      <c r="L5" s="111">
        <v>0.61041666666666672</v>
      </c>
      <c r="M5" s="111" t="s">
        <v>51</v>
      </c>
      <c r="N5" s="111">
        <v>0.64513888888888893</v>
      </c>
      <c r="O5" s="111" t="s">
        <v>52</v>
      </c>
      <c r="P5" s="111">
        <v>0.68333333333333335</v>
      </c>
      <c r="Q5" s="111" t="s">
        <v>53</v>
      </c>
      <c r="R5" s="111">
        <v>0.71944444444444444</v>
      </c>
      <c r="S5" s="111" t="s">
        <v>54</v>
      </c>
      <c r="T5" s="111">
        <v>0.75069444444444444</v>
      </c>
      <c r="U5" s="111" t="s">
        <v>55</v>
      </c>
      <c r="V5" s="18">
        <v>0.78194445371627808</v>
      </c>
      <c r="W5" s="19"/>
    </row>
    <row r="6" spans="1:30" x14ac:dyDescent="0.2">
      <c r="A6" s="11" t="s">
        <v>39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26">
        <v>0</v>
      </c>
    </row>
    <row r="7" spans="1:30" ht="13.5" thickBot="1" x14ac:dyDescent="0.25">
      <c r="W7" s="7"/>
    </row>
    <row r="8" spans="1:30" s="7" customFormat="1" ht="69" customHeight="1" thickBot="1" x14ac:dyDescent="0.25">
      <c r="A8" s="4" t="s">
        <v>0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16" t="s">
        <v>10</v>
      </c>
      <c r="K8" s="16" t="s">
        <v>11</v>
      </c>
      <c r="L8" s="16" t="s">
        <v>12</v>
      </c>
      <c r="M8" s="16" t="s">
        <v>13</v>
      </c>
      <c r="N8" s="17" t="s">
        <v>14</v>
      </c>
      <c r="O8" s="16" t="s">
        <v>15</v>
      </c>
      <c r="P8" s="17" t="s">
        <v>14</v>
      </c>
      <c r="Q8" s="16" t="s">
        <v>16</v>
      </c>
      <c r="R8" s="17" t="s">
        <v>14</v>
      </c>
      <c r="S8" s="16" t="s">
        <v>17</v>
      </c>
      <c r="T8" s="17" t="s">
        <v>14</v>
      </c>
      <c r="U8" s="16" t="s">
        <v>18</v>
      </c>
      <c r="V8" s="17" t="s">
        <v>14</v>
      </c>
      <c r="W8" s="16" t="s">
        <v>19</v>
      </c>
      <c r="X8" s="17" t="s">
        <v>14</v>
      </c>
      <c r="Y8" s="16" t="s">
        <v>20</v>
      </c>
      <c r="Z8" s="17" t="s">
        <v>21</v>
      </c>
      <c r="AA8" s="16" t="s">
        <v>22</v>
      </c>
      <c r="AB8" s="17" t="s">
        <v>21</v>
      </c>
      <c r="AC8" s="16" t="s">
        <v>23</v>
      </c>
      <c r="AD8" s="17" t="s">
        <v>21</v>
      </c>
    </row>
    <row r="9" spans="1:30" s="10" customFormat="1" ht="25.5" x14ac:dyDescent="0.2">
      <c r="A9" s="8" t="s">
        <v>38</v>
      </c>
      <c r="B9" s="9" t="s">
        <v>80</v>
      </c>
      <c r="C9" s="9" t="s">
        <v>81</v>
      </c>
      <c r="D9" s="20">
        <v>0</v>
      </c>
      <c r="E9" s="20">
        <v>0</v>
      </c>
      <c r="F9" s="21" t="s">
        <v>37</v>
      </c>
      <c r="G9" s="22">
        <v>0</v>
      </c>
      <c r="H9" s="21" t="s">
        <v>37</v>
      </c>
      <c r="I9" s="22">
        <v>0</v>
      </c>
      <c r="J9" s="23">
        <v>3</v>
      </c>
      <c r="K9" s="23">
        <v>8</v>
      </c>
      <c r="L9" s="23">
        <v>11</v>
      </c>
      <c r="M9" s="113">
        <v>41.915999999999997</v>
      </c>
      <c r="N9" s="114">
        <v>0</v>
      </c>
      <c r="O9" s="113">
        <v>112.2</v>
      </c>
      <c r="P9" s="114">
        <v>0</v>
      </c>
      <c r="Q9" s="113">
        <f t="shared" ref="Q9:R12" si="0">M9+O9</f>
        <v>154.11599999999999</v>
      </c>
      <c r="R9" s="114">
        <f t="shared" si="0"/>
        <v>0</v>
      </c>
      <c r="S9" s="24">
        <v>0.10972221940755844</v>
      </c>
      <c r="T9" s="25">
        <v>0</v>
      </c>
      <c r="U9" s="24">
        <v>0.28194445371627808</v>
      </c>
      <c r="V9" s="25">
        <v>0</v>
      </c>
      <c r="W9">
        <v>0.39166668057441711</v>
      </c>
      <c r="X9">
        <v>0</v>
      </c>
      <c r="Y9">
        <v>3.2847218215465546E-2</v>
      </c>
      <c r="Z9">
        <v>0.29936705976987188</v>
      </c>
      <c r="AA9">
        <v>8.9583337306976318E-2</v>
      </c>
      <c r="AB9">
        <v>0.31773399379270789</v>
      </c>
      <c r="AC9">
        <f>Y9+AA9</f>
        <v>0.12243055552244186</v>
      </c>
      <c r="AD9">
        <v>0.31258864129796693</v>
      </c>
    </row>
    <row r="10" spans="1:30" ht="26.25" thickBot="1" x14ac:dyDescent="0.25">
      <c r="A10" s="8" t="s">
        <v>39</v>
      </c>
      <c r="B10" s="27" t="s">
        <v>37</v>
      </c>
      <c r="C10" s="27" t="s">
        <v>37</v>
      </c>
      <c r="D10" s="20">
        <v>0</v>
      </c>
      <c r="E10" s="20">
        <v>0</v>
      </c>
      <c r="F10" s="28" t="s">
        <v>37</v>
      </c>
      <c r="G10" s="22">
        <v>0</v>
      </c>
      <c r="H10" s="28" t="s">
        <v>37</v>
      </c>
      <c r="I10" s="22">
        <v>0</v>
      </c>
      <c r="J10" s="30">
        <v>0</v>
      </c>
      <c r="K10" s="30">
        <v>0</v>
      </c>
      <c r="L10" s="30">
        <v>0</v>
      </c>
      <c r="M10" s="115">
        <v>0</v>
      </c>
      <c r="N10" s="116">
        <v>0</v>
      </c>
      <c r="O10" s="115">
        <v>0</v>
      </c>
      <c r="P10" s="116">
        <v>0</v>
      </c>
      <c r="Q10" s="115">
        <f t="shared" si="0"/>
        <v>0</v>
      </c>
      <c r="R10" s="116">
        <f t="shared" si="0"/>
        <v>0</v>
      </c>
      <c r="S10" s="31">
        <v>0</v>
      </c>
      <c r="T10" s="32">
        <v>0</v>
      </c>
      <c r="U10" s="31">
        <v>0</v>
      </c>
      <c r="V10" s="32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f>Y10+AA10</f>
        <v>0</v>
      </c>
      <c r="AD10">
        <v>0</v>
      </c>
    </row>
    <row r="11" spans="1:30" s="33" customFormat="1" ht="13.5" thickBot="1" x14ac:dyDescent="0.25">
      <c r="A11" s="130" t="s">
        <v>24</v>
      </c>
      <c r="B11" s="131"/>
      <c r="C11" s="131"/>
      <c r="D11" s="131"/>
      <c r="E11" s="131"/>
      <c r="F11" s="131"/>
      <c r="G11" s="131"/>
      <c r="H11" s="131"/>
      <c r="I11" s="132"/>
      <c r="J11">
        <f>ROUND(SUM(J9:J10),2)</f>
        <v>3</v>
      </c>
      <c r="K11">
        <f>SUM(K9:K10)</f>
        <v>8</v>
      </c>
      <c r="L11">
        <f>J11+K11</f>
        <v>11</v>
      </c>
      <c r="M11" s="117">
        <f>ROUND(SUM(M9:M10),3)</f>
        <v>41.915999999999997</v>
      </c>
      <c r="N11" s="118">
        <f>ROUND(SUM(N9:N10),3)</f>
        <v>0</v>
      </c>
      <c r="O11" s="117">
        <f>ROUND(SUM(O9:O10),3)</f>
        <v>112.2</v>
      </c>
      <c r="P11" s="118">
        <f>ROUND(SUM(P9:P10),3)</f>
        <v>0</v>
      </c>
      <c r="Q11" s="119">
        <f t="shared" si="0"/>
        <v>154.11599999999999</v>
      </c>
      <c r="R11" s="118">
        <f t="shared" si="0"/>
        <v>0</v>
      </c>
      <c r="S11" s="109">
        <f>SUM(S9:S10)</f>
        <v>0.10972221940755844</v>
      </c>
      <c r="T11" s="35">
        <f>SUM(T9:T10)</f>
        <v>0</v>
      </c>
      <c r="U11" s="110">
        <f>SUM(U9:U10)</f>
        <v>0.28194445371627808</v>
      </c>
      <c r="V11" s="37">
        <f>SUM(V9:V10)</f>
        <v>0</v>
      </c>
      <c r="W11" s="110">
        <f>S11+U11</f>
        <v>0.39166667312383652</v>
      </c>
      <c r="X11">
        <f>T11+V11</f>
        <v>0</v>
      </c>
      <c r="Y11" s="34">
        <f>SUM(Y9:Y10)</f>
        <v>3.2847218215465546E-2</v>
      </c>
      <c r="Z11">
        <f>IF((SUM(S9:S10)-SUM(T9:T10)/(24*60))&gt;0,SUM(Y9:Y10)/(SUM(S9:S10)-SUM(T9:T10)/(24*60)),0)</f>
        <v>0.29936705976987188</v>
      </c>
      <c r="AA11" s="36">
        <f>SUM(AA9:AA10)</f>
        <v>8.9583337306976318E-2</v>
      </c>
      <c r="AB11">
        <f>IF((SUM(U9:U10)-SUM(V9:V10)/(24*60))&gt;0, SUM(AA9:AA10)/(SUM(U9:U10)-SUM(V9:V10)/(24*60)), 0)</f>
        <v>0.31773399379270789</v>
      </c>
      <c r="AC11" s="36">
        <f>SUM(AC9:AC10)</f>
        <v>0.12243055552244186</v>
      </c>
      <c r="AD11">
        <f>SUM(AC9:AC10)/(SUM(W9:W10)-SUM(X9:X10)/(24*60))</f>
        <v>0.31258864129796693</v>
      </c>
    </row>
    <row r="12" spans="1:30" s="33" customFormat="1" ht="13.5" thickBot="1" x14ac:dyDescent="0.25">
      <c r="A12" s="130" t="s">
        <v>26</v>
      </c>
      <c r="B12" s="131"/>
      <c r="C12" s="131"/>
      <c r="D12" s="131"/>
      <c r="E12" s="131"/>
      <c r="F12" s="131"/>
      <c r="G12" s="131"/>
      <c r="H12" s="131"/>
      <c r="I12" s="132"/>
      <c r="J12">
        <f>ROUND(SUMIF(G9:G10,"=0",J9:J10),2)</f>
        <v>3</v>
      </c>
      <c r="K12">
        <f>SUMIF(G9:G10,"=0",K9:K10)</f>
        <v>8</v>
      </c>
      <c r="L12">
        <f>J12+K12</f>
        <v>11</v>
      </c>
      <c r="M12" s="117">
        <f>ROUND(SUMIF(G9:G10,"=0",M9:M10),3)</f>
        <v>41.915999999999997</v>
      </c>
      <c r="N12" s="118">
        <f>ROUND(SUMIF(G9:G10,"=0",N9:N10),3)</f>
        <v>0</v>
      </c>
      <c r="O12" s="117">
        <f>ROUND(SUMIF(G9:G10,"=0",O9:O10),3)</f>
        <v>112.2</v>
      </c>
      <c r="P12" s="118">
        <f>ROUND(SUMIF(G9:G10,"=0",P9:P10),3)</f>
        <v>0</v>
      </c>
      <c r="Q12" s="119">
        <f t="shared" si="0"/>
        <v>154.11599999999999</v>
      </c>
      <c r="R12" s="118">
        <f t="shared" si="0"/>
        <v>0</v>
      </c>
      <c r="S12" s="109">
        <f>SUMIF(G9:G10,"=0",S9:S10)</f>
        <v>0.10972221940755844</v>
      </c>
      <c r="T12" s="35">
        <f>SUMIF(G9:G10,"=0",T9:T10)</f>
        <v>0</v>
      </c>
      <c r="U12" s="110">
        <f>SUMIF(G9:G10,"=0",U9:U10)</f>
        <v>0.28194445371627808</v>
      </c>
      <c r="V12" s="37">
        <f>SUMIF(G9:G10,"=0",V9:V10)</f>
        <v>0</v>
      </c>
      <c r="W12" s="110">
        <f>S12+U12</f>
        <v>0.39166667312383652</v>
      </c>
      <c r="X12">
        <f>T12+V12</f>
        <v>0</v>
      </c>
      <c r="Y12"/>
      <c r="Z12"/>
      <c r="AA12"/>
      <c r="AB12"/>
      <c r="AC12"/>
      <c r="AD12"/>
    </row>
    <row r="13" spans="1:30" x14ac:dyDescent="0.2">
      <c r="A13" s="7"/>
      <c r="B13" s="7"/>
      <c r="C13" s="7"/>
      <c r="D13"/>
      <c r="E13"/>
      <c r="F13"/>
      <c r="G13"/>
      <c r="H13"/>
      <c r="J13" s="13"/>
      <c r="K13" s="12"/>
      <c r="L13" s="13"/>
      <c r="M13" s="13"/>
      <c r="O13" s="12"/>
      <c r="P13" s="13"/>
      <c r="R13"/>
      <c r="S13"/>
      <c r="T13"/>
      <c r="U13"/>
      <c r="V13"/>
      <c r="W13"/>
      <c r="Y13"/>
      <c r="Z13"/>
      <c r="AA13"/>
      <c r="AB13"/>
      <c r="AC13"/>
    </row>
    <row r="14" spans="1:30" x14ac:dyDescent="0.2">
      <c r="F14" s="3" t="s">
        <v>25</v>
      </c>
      <c r="G14" s="126">
        <v>13.972000122070313</v>
      </c>
      <c r="H14" s="126"/>
      <c r="N14" s="3" t="s">
        <v>45</v>
      </c>
      <c r="O14" s="126">
        <v>14.025000087916901</v>
      </c>
      <c r="P14" s="126"/>
    </row>
    <row r="15" spans="1:30" x14ac:dyDescent="0.2">
      <c r="F15" s="3" t="s">
        <v>45</v>
      </c>
      <c r="G15" s="126">
        <v>13.972000122070313</v>
      </c>
      <c r="H15" s="126"/>
      <c r="N15" s="3"/>
      <c r="O15" s="126"/>
      <c r="P15" s="126"/>
    </row>
    <row r="16" spans="1:30" x14ac:dyDescent="0.2">
      <c r="F16" s="3" t="s">
        <v>46</v>
      </c>
      <c r="G16" s="126">
        <v>0</v>
      </c>
      <c r="H16" s="126"/>
      <c r="N16" s="3"/>
      <c r="O16" s="126"/>
      <c r="P16" s="126"/>
    </row>
  </sheetData>
  <dataConsolidate/>
  <mergeCells count="11">
    <mergeCell ref="Y2:AB2"/>
    <mergeCell ref="A3:W3"/>
    <mergeCell ref="A11:I11"/>
    <mergeCell ref="A12:I12"/>
    <mergeCell ref="G14:H14"/>
    <mergeCell ref="O14:P14"/>
    <mergeCell ref="G15:H15"/>
    <mergeCell ref="O15:P15"/>
    <mergeCell ref="G16:H16"/>
    <mergeCell ref="O16:P16"/>
    <mergeCell ref="A1:D1"/>
  </mergeCells>
  <pageMargins left="0.39370078740157483" right="0.39370078740157483" top="0.39370078740157483" bottom="0.39370078740157483" header="0" footer="0"/>
  <pageSetup paperSize="9" scale="82" orientation="landscape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AI21"/>
  <sheetViews>
    <sheetView zoomScaleNormal="100" workbookViewId="0">
      <selection activeCell="C23" sqref="C23"/>
    </sheetView>
  </sheetViews>
  <sheetFormatPr defaultColWidth="6" defaultRowHeight="12.75" x14ac:dyDescent="0.2"/>
  <cols>
    <col min="1" max="17" width="5.5703125" style="1" customWidth="1"/>
    <col min="18" max="18" width="6.42578125" style="1" customWidth="1"/>
    <col min="19" max="19" width="5.5703125" style="1" customWidth="1"/>
    <col min="20" max="20" width="6.5703125" style="1" customWidth="1"/>
    <col min="21" max="21" width="5.5703125" style="1" customWidth="1"/>
    <col min="22" max="22" width="6.85546875" style="1" customWidth="1"/>
    <col min="23" max="25" width="5.5703125" style="1" customWidth="1"/>
    <col min="26" max="26" width="6.42578125" style="1" customWidth="1"/>
    <col min="27" max="27" width="5.5703125" style="1" customWidth="1"/>
    <col min="28" max="28" width="6.42578125" style="1" customWidth="1"/>
    <col min="29" max="29" width="6" style="1" customWidth="1"/>
    <col min="30" max="30" width="6.42578125" style="1" customWidth="1"/>
    <col min="31" max="34" width="5.5703125" style="1" customWidth="1"/>
    <col min="35" max="35" width="6.7109375" style="1" customWidth="1"/>
    <col min="36" max="72" width="6" style="1" customWidth="1"/>
    <col min="73" max="73" width="5.7109375" style="1" bestFit="1" customWidth="1"/>
    <col min="74" max="16384" width="6" style="1"/>
  </cols>
  <sheetData>
    <row r="1" spans="1:35" ht="12.75" customHeight="1" x14ac:dyDescent="0.2">
      <c r="A1" s="127" t="e">
        <f ca="1">NOW()+0*pikasLineKm(1)</f>
        <v>#NAME?</v>
      </c>
      <c r="B1" s="127"/>
      <c r="C1" s="127"/>
      <c r="D1" s="127"/>
    </row>
    <row r="2" spans="1:35" ht="12.75" customHeight="1" x14ac:dyDescent="0.2">
      <c r="B2" s="2"/>
      <c r="C2" s="2" t="s">
        <v>32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 t="s">
        <v>33</v>
      </c>
      <c r="R2" s="2"/>
      <c r="S2" s="2"/>
      <c r="T2" s="2"/>
      <c r="U2" s="2"/>
      <c r="V2" s="2"/>
    </row>
    <row r="3" spans="1:35" ht="12.75" customHeight="1" x14ac:dyDescent="0.2">
      <c r="C3" s="2" t="s">
        <v>27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29</v>
      </c>
      <c r="R3" s="2"/>
      <c r="S3" s="2"/>
      <c r="T3" s="2"/>
      <c r="U3" s="2"/>
      <c r="V3" s="2"/>
    </row>
    <row r="4" spans="1:35" ht="12.75" customHeight="1" x14ac:dyDescent="0.2">
      <c r="C4" s="2" t="s">
        <v>34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 t="s">
        <v>35</v>
      </c>
      <c r="R4" s="2"/>
      <c r="S4" s="2"/>
      <c r="T4" s="2"/>
      <c r="U4" s="2"/>
      <c r="V4" s="2"/>
    </row>
    <row r="5" spans="1:35" ht="12.75" customHeight="1" x14ac:dyDescent="0.2">
      <c r="C5" s="2" t="s">
        <v>36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 t="s">
        <v>36</v>
      </c>
      <c r="R5" s="2"/>
      <c r="S5" s="2"/>
      <c r="T5" s="2"/>
      <c r="U5" s="2"/>
      <c r="V5" s="2"/>
    </row>
    <row r="6" spans="1:35" ht="12.75" customHeight="1" x14ac:dyDescent="0.2">
      <c r="C6" s="2" t="s">
        <v>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30</v>
      </c>
      <c r="R6" s="2"/>
      <c r="S6" s="2"/>
      <c r="T6" s="2"/>
      <c r="U6" s="2"/>
      <c r="V6" s="2"/>
    </row>
    <row r="7" spans="1:35" ht="12.75" customHeight="1" x14ac:dyDescent="0.2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35" ht="12.75" customHeight="1" x14ac:dyDescent="0.2">
      <c r="C8" s="2" t="s">
        <v>31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 t="s">
        <v>31</v>
      </c>
      <c r="R8" s="2"/>
      <c r="S8" s="2"/>
      <c r="T8" s="2"/>
      <c r="U8" s="2"/>
      <c r="V8" s="2"/>
    </row>
    <row r="9" spans="1:35" ht="12.75" customHeight="1" x14ac:dyDescent="0.2"/>
    <row r="10" spans="1:35" ht="12.75" customHeight="1" x14ac:dyDescent="0.2">
      <c r="H10" s="14" t="e">
        <f ca="1" xml:space="preserve"> pikasTransport() &amp; " " &amp; pikasRoute() &amp; " maršruto """ &amp; pikasDirectionName() &amp; """ eismo tvarkaraštis (" &amp; pikasKeywords() &amp; ")"</f>
        <v>#NAME?</v>
      </c>
    </row>
    <row r="11" spans="1:35" ht="38.25" customHeight="1" thickBot="1" x14ac:dyDescent="0.25">
      <c r="A11" s="129" t="e">
        <f ca="1">pikasStreets()</f>
        <v>#NAME?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</row>
    <row r="12" spans="1:35" s="7" customFormat="1" ht="69" customHeight="1" thickBot="1" x14ac:dyDescent="0.25">
      <c r="A12" s="4" t="s">
        <v>0</v>
      </c>
      <c r="B12" s="5"/>
      <c r="C12" s="5"/>
      <c r="D12" s="6" t="s">
        <v>1</v>
      </c>
      <c r="E12" s="15"/>
      <c r="F12" s="4" t="s">
        <v>0</v>
      </c>
      <c r="G12" s="6" t="s">
        <v>2</v>
      </c>
      <c r="H12" s="6" t="s">
        <v>3</v>
      </c>
      <c r="I12" s="6" t="s">
        <v>4</v>
      </c>
      <c r="J12" s="6" t="s">
        <v>5</v>
      </c>
      <c r="K12" s="6" t="s">
        <v>6</v>
      </c>
      <c r="L12" s="6" t="s">
        <v>7</v>
      </c>
      <c r="M12" s="6" t="s">
        <v>8</v>
      </c>
      <c r="N12" s="6" t="s">
        <v>9</v>
      </c>
      <c r="O12" s="16" t="s">
        <v>10</v>
      </c>
      <c r="P12" s="16" t="s">
        <v>11</v>
      </c>
      <c r="Q12" s="16" t="s">
        <v>12</v>
      </c>
      <c r="R12" s="16" t="s">
        <v>13</v>
      </c>
      <c r="S12" s="17" t="s">
        <v>14</v>
      </c>
      <c r="T12" s="16" t="s">
        <v>15</v>
      </c>
      <c r="U12" s="17" t="s">
        <v>14</v>
      </c>
      <c r="V12" s="16" t="s">
        <v>16</v>
      </c>
      <c r="W12" s="17" t="s">
        <v>14</v>
      </c>
      <c r="X12" s="16" t="s">
        <v>17</v>
      </c>
      <c r="Y12" s="17" t="s">
        <v>14</v>
      </c>
      <c r="Z12" s="16" t="s">
        <v>18</v>
      </c>
      <c r="AA12" s="17" t="s">
        <v>14</v>
      </c>
      <c r="AB12" s="16" t="s">
        <v>19</v>
      </c>
      <c r="AC12" s="17" t="s">
        <v>14</v>
      </c>
      <c r="AD12" s="16" t="s">
        <v>20</v>
      </c>
      <c r="AE12" s="17" t="s">
        <v>21</v>
      </c>
      <c r="AF12" s="16" t="s">
        <v>22</v>
      </c>
      <c r="AG12" s="17" t="s">
        <v>21</v>
      </c>
      <c r="AH12" s="16" t="s">
        <v>23</v>
      </c>
      <c r="AI12" s="17" t="s">
        <v>21</v>
      </c>
    </row>
    <row r="13" spans="1:35" s="10" customFormat="1" x14ac:dyDescent="0.2">
      <c r="A13" s="8" t="e">
        <f ca="1">pikasLineName()</f>
        <v>#NAME?</v>
      </c>
      <c r="B13" s="9"/>
      <c r="C13" s="9"/>
      <c r="D13" s="18" t="e">
        <f ca="1">pikasLineEndRun()</f>
        <v>#NAME?</v>
      </c>
      <c r="E13" s="19"/>
      <c r="F13" s="8" t="e">
        <f ca="1">pikasLineName()</f>
        <v>#NAME?</v>
      </c>
      <c r="G13" s="9" t="e">
        <f ca="1">TimeFormat(pikasLineStartWork(1)*24*60) &amp; CHAR(10) &amp; TimeFormat(pikasLineEndWork(1)*24*60)</f>
        <v>#NAME?</v>
      </c>
      <c r="H13" s="9" t="e">
        <f ca="1">TimeFormat(pikasLineStartWork(2)*24*60) &amp; CHAR(10) &amp; TimeFormat(pikasLineEndWork(2)*24*60)</f>
        <v>#NAME?</v>
      </c>
      <c r="I13" s="20" t="e">
        <f ca="1">pikasLineBeforeStart()</f>
        <v>#NAME?</v>
      </c>
      <c r="J13" s="20" t="e">
        <f ca="1">pikasLineAfterEnd()</f>
        <v>#NAME?</v>
      </c>
      <c r="K13" s="21" t="e">
        <f ca="1">TimeFormat(pikasLineMealStart(1)*24*60) &amp; CHAR(10) &amp; TimeFormat(pikasLineMealEnd(1)*24*60)</f>
        <v>#NAME?</v>
      </c>
      <c r="L13" s="22" t="e">
        <f ca="1">24*60*(pikasLineMealEnd(1)-pikasLineMealStart(1))</f>
        <v>#NAME?</v>
      </c>
      <c r="M13" s="21" t="e">
        <f ca="1">TimeFormat(pikasLineMealStart(2)*24*60) &amp; CHAR(10) &amp; TimeFormat(pikasLineMealEnd(2)*24*60)</f>
        <v>#NAME?</v>
      </c>
      <c r="N13" s="22" t="e">
        <f ca="1">24*60*(pikasLineMealEnd(2)-pikasLineMealStart(2))</f>
        <v>#NAME?</v>
      </c>
      <c r="O13" s="23" t="e">
        <f ca="1">pikasLineTrips(1,"-0")</f>
        <v>#NAME?</v>
      </c>
      <c r="P13" s="23" t="e">
        <f ca="1">pikasLineTrips(2,"-0")</f>
        <v>#NAME?</v>
      </c>
      <c r="Q13" s="23" t="e">
        <f ca="1">pikasLineTrips(0,"-0")</f>
        <v>#NAME?</v>
      </c>
      <c r="R13" s="51" t="e">
        <f ca="1">pikasLineKm(1)</f>
        <v>#NAME?</v>
      </c>
      <c r="S13" s="53" t="e">
        <f ca="1">pikasLineKm(1,"+0")</f>
        <v>#NAME?</v>
      </c>
      <c r="T13" s="51" t="e">
        <f ca="1">pikasLineKm(2)</f>
        <v>#NAME?</v>
      </c>
      <c r="U13" s="53" t="e">
        <f ca="1">pikasLineKm(2,"+0")</f>
        <v>#NAME?</v>
      </c>
      <c r="V13" s="51" t="e">
        <f t="shared" ref="V13:W16" ca="1" si="0">R13+T13</f>
        <v>#NAME?</v>
      </c>
      <c r="W13" s="53" t="e">
        <f t="shared" ca="1" si="0"/>
        <v>#NAME?</v>
      </c>
      <c r="X13" s="24" t="e">
        <f ca="1">pikasLineDuration(1)</f>
        <v>#NAME?</v>
      </c>
      <c r="Y13" s="25" t="e">
        <f ca="1">pikasLineDuration(1,"+0")*24*60</f>
        <v>#NAME?</v>
      </c>
      <c r="Z13" s="24" t="e">
        <f ca="1">pikasLineDuration(2)</f>
        <v>#NAME?</v>
      </c>
      <c r="AA13" s="25" t="e">
        <f ca="1">pikasLineDuration(2,"+0")*24*60</f>
        <v>#NAME?</v>
      </c>
      <c r="AB13" s="56" t="e">
        <f ca="1">pikasLineDuration(0)</f>
        <v>#NAME?</v>
      </c>
      <c r="AC13" s="57" t="e">
        <f ca="1">pikasLineDuration(0,"+0")*24*60</f>
        <v>#NAME?</v>
      </c>
      <c r="AD13" s="58" t="e">
        <f ca="1">pikasLineDuration(1,"-0")-pikasLineDrivingDuration(1,"-0")</f>
        <v>#NAME?</v>
      </c>
      <c r="AE13" s="55" t="e">
        <f ca="1">(IF(pikasLineDuration(1,"-0")&gt;0,AD13/pikasLineDuration(1,"-0"),"0"))</f>
        <v>#NAME?</v>
      </c>
      <c r="AF13" s="58" t="e">
        <f ca="1">pikasLineDuration(2,"-0")-pikasLineDrivingDuration(2,"-0")</f>
        <v>#NAME?</v>
      </c>
      <c r="AG13" s="55" t="e">
        <f ca="1">(IF(pikasLineDuration(2,"-0")&gt;0,AF13/pikasLineDuration(2,"-0"),"0"))</f>
        <v>#NAME?</v>
      </c>
      <c r="AH13" s="56" t="e">
        <f ca="1">AD13+AF13</f>
        <v>#NAME?</v>
      </c>
      <c r="AI13" s="55" t="e">
        <f ca="1">IF(pikasLineDuration(0,"-0")&gt;0,AH13/pikasLineDuration(0,"-0"),"0")</f>
        <v>#NAME?</v>
      </c>
    </row>
    <row r="14" spans="1:35" ht="13.5" thickBot="1" x14ac:dyDescent="0.25">
      <c r="A14" s="11" t="e">
        <f ca="1">pikasLineName()</f>
        <v>#NAME?</v>
      </c>
      <c r="B14" s="9"/>
      <c r="C14" s="9"/>
      <c r="D14" s="26" t="e">
        <f ca="1">pikasLineEndRun()</f>
        <v>#NAME?</v>
      </c>
      <c r="F14" s="8" t="e">
        <f ca="1">pikasLineName()</f>
        <v>#NAME?</v>
      </c>
      <c r="G14" s="27" t="e">
        <f ca="1">TimeFormat(pikasLineStartWork(1)*24*60) &amp; CHAR(10) &amp; TimeFormat(pikasLineEndWork(1)*24*60)</f>
        <v>#NAME?</v>
      </c>
      <c r="H14" s="27" t="e">
        <f ca="1">TimeFormat(pikasLineStartWork(2)*24*60) &amp; CHAR(10) &amp; TimeFormat(pikasLineEndWork(2)*24*60)</f>
        <v>#NAME?</v>
      </c>
      <c r="I14" s="20" t="e">
        <f ca="1">pikasLineBeforeStart()</f>
        <v>#NAME?</v>
      </c>
      <c r="J14" s="20" t="e">
        <f ca="1">pikasLineAfterEnd()</f>
        <v>#NAME?</v>
      </c>
      <c r="K14" s="28" t="e">
        <f ca="1">TimeFormat(pikasLineMealStart(1)*24*60) &amp; CHAR(10) &amp; TimeFormat(pikasLineMealEnd(1)*24*60)</f>
        <v>#NAME?</v>
      </c>
      <c r="L14" s="29" t="e">
        <f ca="1">24*60*(pikasLineMealEnd(1)-pikasLineMealStart(1))</f>
        <v>#NAME?</v>
      </c>
      <c r="M14" s="28" t="e">
        <f ca="1">TimeFormat(pikasLineMealStart(2)*24*60) &amp; CHAR(10) &amp; TimeFormat(pikasLineMealEnd(2)*24*60)</f>
        <v>#NAME?</v>
      </c>
      <c r="N14" s="29" t="e">
        <f ca="1">24*60*(pikasLineMealEnd(2)-pikasLineMealStart(2))</f>
        <v>#NAME?</v>
      </c>
      <c r="O14" s="30" t="e">
        <f ca="1">pikasLineTrips(1,"-0")</f>
        <v>#NAME?</v>
      </c>
      <c r="P14" s="30" t="e">
        <f ca="1">pikasLineTrips(2,"-0")</f>
        <v>#NAME?</v>
      </c>
      <c r="Q14" s="30" t="e">
        <f ca="1">pikasLineTrips(0,"-0")</f>
        <v>#NAME?</v>
      </c>
      <c r="R14" s="52" t="e">
        <f ca="1">pikasLineKm(1)</f>
        <v>#NAME?</v>
      </c>
      <c r="S14" s="54" t="e">
        <f ca="1">pikasLineKm(1,"+0")</f>
        <v>#NAME?</v>
      </c>
      <c r="T14" s="52" t="e">
        <f ca="1">pikasLineKm(2)</f>
        <v>#NAME?</v>
      </c>
      <c r="U14" s="54" t="e">
        <f ca="1">pikasLineKm(2,"+0")</f>
        <v>#NAME?</v>
      </c>
      <c r="V14" s="52" t="e">
        <f t="shared" ca="1" si="0"/>
        <v>#NAME?</v>
      </c>
      <c r="W14" s="54" t="e">
        <f t="shared" ca="1" si="0"/>
        <v>#NAME?</v>
      </c>
      <c r="X14" s="31" t="e">
        <f ca="1">pikasLineDuration(1)</f>
        <v>#NAME?</v>
      </c>
      <c r="Y14" s="32" t="e">
        <f ca="1">pikasLineDuration(1,"+0")*24*60</f>
        <v>#NAME?</v>
      </c>
      <c r="Z14" s="31" t="e">
        <f ca="1">pikasLineDuration(2)</f>
        <v>#NAME?</v>
      </c>
      <c r="AA14" s="32" t="e">
        <f ca="1">pikasLineDuration(2,"+0")*24*60</f>
        <v>#NAME?</v>
      </c>
      <c r="AB14" s="59" t="e">
        <f ca="1">pikasLineDuration(0)</f>
        <v>#NAME?</v>
      </c>
      <c r="AC14" s="60" t="e">
        <f ca="1">pikasLineDuration(0,"+0")*24*60</f>
        <v>#NAME?</v>
      </c>
      <c r="AD14" s="61" t="e">
        <f ca="1">pikasLineDuration(1,"-0")-pikasLineDrivingDuration(1,"-0")</f>
        <v>#NAME?</v>
      </c>
      <c r="AE14" s="55" t="e">
        <f ca="1">(IF(pikasLineDuration(1,"-0")&gt;0,AD14/pikasLineDuration(1,"-0"),"0"))</f>
        <v>#NAME?</v>
      </c>
      <c r="AF14" s="61" t="e">
        <f ca="1">pikasLineDuration(2,"-0")-pikasLineDrivingDuration(2,"-0")</f>
        <v>#NAME?</v>
      </c>
      <c r="AG14" s="55" t="e">
        <f ca="1">(IF(pikasLineDuration(2,"-0")&gt;0,AF14/pikasLineDuration(2,"-0"),"0"))</f>
        <v>#NAME?</v>
      </c>
      <c r="AH14" s="59" t="e">
        <f ca="1">AD14+AF14</f>
        <v>#NAME?</v>
      </c>
      <c r="AI14" s="55" t="e">
        <f ca="1">IF(pikasLineDuration(0,"-0")&gt;0,AH14/pikasLineDuration(0,"-0"),"0")</f>
        <v>#NAME?</v>
      </c>
    </row>
    <row r="15" spans="1:35" s="33" customFormat="1" ht="13.5" thickBot="1" x14ac:dyDescent="0.25">
      <c r="F15" s="130" t="s">
        <v>24</v>
      </c>
      <c r="G15" s="133"/>
      <c r="H15" s="133"/>
      <c r="I15" s="133"/>
      <c r="J15" s="133"/>
      <c r="K15" s="133"/>
      <c r="L15" s="133"/>
      <c r="M15" s="133"/>
      <c r="N15" s="134"/>
      <c r="O15" s="49" t="e">
        <f ca="1">ROUND(SUM(O13:O14),2)</f>
        <v>#NAME?</v>
      </c>
      <c r="P15" s="48" t="e">
        <f ca="1">SUM(P13:P14)</f>
        <v>#NAME?</v>
      </c>
      <c r="Q15" s="48" t="e">
        <f ca="1">O15+P15</f>
        <v>#NAME?</v>
      </c>
      <c r="R15" s="50" t="e">
        <f ca="1">ROUND(SUM(R13:R14),2)</f>
        <v>#NAME?</v>
      </c>
      <c r="S15" s="63" t="e">
        <f ca="1">SUM(S13:S14)</f>
        <v>#NAME?</v>
      </c>
      <c r="T15" s="50" t="e">
        <f ca="1">SUM(T13:T14)</f>
        <v>#NAME?</v>
      </c>
      <c r="U15" s="63" t="e">
        <f ca="1">SUM(U13:U14)</f>
        <v>#NAME?</v>
      </c>
      <c r="V15" s="62" t="e">
        <f t="shared" ca="1" si="0"/>
        <v>#NAME?</v>
      </c>
      <c r="W15" s="63" t="e">
        <f t="shared" ca="1" si="0"/>
        <v>#NAME?</v>
      </c>
      <c r="X15" s="34" t="e">
        <f ca="1">TimeFormat(SUM(X13:X14)*24*60,"h:mm")</f>
        <v>#NAME?</v>
      </c>
      <c r="Y15" s="35" t="e">
        <f ca="1">SUM(Y13:Y14)</f>
        <v>#NAME?</v>
      </c>
      <c r="Z15" s="36" t="e">
        <f ca="1">TimeFormat(SUM(Z13:Z14)*24*60,"h:mm")</f>
        <v>#NAME?</v>
      </c>
      <c r="AA15" s="37" t="e">
        <f ca="1">SUM(AA13:AA14)</f>
        <v>#NAME?</v>
      </c>
      <c r="AB15" s="36" t="e">
        <f ca="1">TimeFormat((X15+Z15)*24*60,"h:mm")</f>
        <v>#NAME?</v>
      </c>
      <c r="AC15" s="38" t="e">
        <f ca="1">Y15+AA15</f>
        <v>#NAME?</v>
      </c>
      <c r="AD15" s="34" t="e">
        <f ca="1">TimeFormat(SUM(AD13:AD14)*24*60)</f>
        <v>#NAME?</v>
      </c>
      <c r="AE15" s="39" t="e">
        <f ca="1">SUM(AD13:AD14)/(SUM(X13:X14)-SUM(Y13:Y14)/(24*60))</f>
        <v>#NAME?</v>
      </c>
      <c r="AF15" s="36" t="e">
        <f ca="1">TimeFormat(24*60*SUM(AF13:AF14))</f>
        <v>#NAME?</v>
      </c>
      <c r="AG15" s="40" t="e">
        <f ca="1">SUM(AF13:AF14)/(SUM(Z13:Z14)-SUM(AA13:AA14)/(24*60))</f>
        <v>#NAME?</v>
      </c>
      <c r="AH15" s="36" t="e">
        <f ca="1">TimeFormat(24*60*SUM(AH13:AH14))</f>
        <v>#NAME?</v>
      </c>
      <c r="AI15" s="41" t="e">
        <f ca="1">SUM(AH13:AH14)/(SUM(AB13:AB14)-SUM(AC13:AC14)/(24*60))</f>
        <v>#NAME?</v>
      </c>
    </row>
    <row r="16" spans="1:35" s="33" customFormat="1" ht="13.5" thickBot="1" x14ac:dyDescent="0.25">
      <c r="F16" s="130" t="s">
        <v>26</v>
      </c>
      <c r="G16" s="133"/>
      <c r="H16" s="133"/>
      <c r="I16" s="133"/>
      <c r="J16" s="133"/>
      <c r="K16" s="133"/>
      <c r="L16" s="133"/>
      <c r="M16" s="133"/>
      <c r="N16" s="134"/>
      <c r="O16" s="47">
        <f ca="1">ROUND(SUMIF(L13:L14,"=0",O13:O14),2)</f>
        <v>0</v>
      </c>
      <c r="P16" s="48">
        <f ca="1">SUMIF(L13:L14,"=0",P13:P14)</f>
        <v>0</v>
      </c>
      <c r="Q16" s="48">
        <f ca="1">O16+P16</f>
        <v>0</v>
      </c>
      <c r="R16" s="50">
        <f ca="1">ROUND(SUMIF(L13:L14,"=0",R13:R14),2)</f>
        <v>0</v>
      </c>
      <c r="S16" s="63">
        <f ca="1">SUMIF(L13:L14,"=0",S13:S14)</f>
        <v>0</v>
      </c>
      <c r="T16" s="50">
        <f ca="1">SUMIF(L13:L14,"=0",T13:T14)</f>
        <v>0</v>
      </c>
      <c r="U16" s="63">
        <f ca="1">SUMIF(L13:L14,"=0",U13:U14)</f>
        <v>0</v>
      </c>
      <c r="V16" s="62">
        <f t="shared" ca="1" si="0"/>
        <v>0</v>
      </c>
      <c r="W16" s="63">
        <f t="shared" ca="1" si="0"/>
        <v>0</v>
      </c>
      <c r="X16" s="34" t="e">
        <f ca="1">TimeFormat(SUMIF(L13:L14,"=0",X13:X14)*24*60,"h:mm")</f>
        <v>#NAME?</v>
      </c>
      <c r="Y16" s="35">
        <f ca="1">SUMIF(L13:L14,"=0",Y13:Y14)</f>
        <v>0</v>
      </c>
      <c r="Z16" s="36" t="e">
        <f ca="1">TimeFormat(SUMIF(L13:L14,"=0",Z13:Z14)*24*60,"h:mm")</f>
        <v>#NAME?</v>
      </c>
      <c r="AA16" s="37">
        <f ca="1">SUMIF(L13:L14,"=0",AA13:AA14)</f>
        <v>0</v>
      </c>
      <c r="AB16" s="36" t="e">
        <f ca="1">TimeFormat((X16+Z16)*24*60,"h:mm")</f>
        <v>#NAME?</v>
      </c>
      <c r="AC16" s="38">
        <f ca="1">Y16+AA16</f>
        <v>0</v>
      </c>
      <c r="AD16" s="45"/>
      <c r="AE16" s="46"/>
      <c r="AF16" s="45"/>
      <c r="AG16" s="46"/>
      <c r="AH16" s="45"/>
      <c r="AI16" s="46"/>
    </row>
    <row r="17" spans="5:34" x14ac:dyDescent="0.2">
      <c r="E17" s="7"/>
      <c r="F17" s="7"/>
      <c r="G17" s="7"/>
      <c r="H17" s="7"/>
      <c r="I17" s="42"/>
      <c r="J17" s="43"/>
      <c r="K17" s="42"/>
      <c r="L17" s="43"/>
      <c r="M17" s="42"/>
      <c r="O17" s="13"/>
      <c r="P17" s="12"/>
      <c r="Q17" s="13"/>
      <c r="R17" s="13"/>
      <c r="T17" s="12"/>
      <c r="U17" s="13"/>
      <c r="W17" s="44"/>
      <c r="X17" s="44"/>
      <c r="Y17" s="44"/>
      <c r="Z17" s="44"/>
      <c r="AA17" s="44"/>
      <c r="AB17" s="44"/>
      <c r="AD17" s="44"/>
      <c r="AE17" s="44"/>
      <c r="AF17" s="44"/>
      <c r="AG17" s="44"/>
      <c r="AH17" s="44"/>
    </row>
    <row r="18" spans="5:34" x14ac:dyDescent="0.2">
      <c r="F18" s="3" t="s">
        <v>25</v>
      </c>
      <c r="G18" s="126" t="e">
        <f ca="1">pikasDirectionKm("A&gt;B")+pikasDirectionKm("B&gt;A")</f>
        <v>#NAME?</v>
      </c>
      <c r="H18" s="126"/>
    </row>
    <row r="19" spans="5:34" x14ac:dyDescent="0.2">
      <c r="F19" s="3" t="e">
        <f ca="1">pikasDirectionName("A&gt;B")</f>
        <v>#NAME?</v>
      </c>
      <c r="G19" s="126" t="e">
        <f ca="1">pikasDirectionKm("A&gt;B")</f>
        <v>#NAME?</v>
      </c>
      <c r="H19" s="126"/>
    </row>
    <row r="20" spans="5:34" x14ac:dyDescent="0.2">
      <c r="F20" s="3" t="e">
        <f ca="1">pikasDirectionName("B&gt;A")</f>
        <v>#NAME?</v>
      </c>
      <c r="G20" s="126" t="e">
        <f ca="1">pikasDirectionKm("B&gt;A")</f>
        <v>#NAME?</v>
      </c>
      <c r="H20" s="126"/>
    </row>
    <row r="21" spans="5:34" x14ac:dyDescent="0.2">
      <c r="V21" s="12"/>
    </row>
  </sheetData>
  <dataConsolidate/>
  <mergeCells count="7">
    <mergeCell ref="A1:D1"/>
    <mergeCell ref="G20:H20"/>
    <mergeCell ref="F15:N15"/>
    <mergeCell ref="A11:W11"/>
    <mergeCell ref="G18:H18"/>
    <mergeCell ref="G19:H19"/>
    <mergeCell ref="F16:N16"/>
  </mergeCells>
  <phoneticPr fontId="1" type="noConversion"/>
  <pageMargins left="0.39370078740157483" right="0.39370078740157483" top="0.39370078740157483" bottom="0.39370078740157483" header="0" footer="0"/>
  <pageSetup paperSize="8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6</vt:i4>
      </vt:variant>
    </vt:vector>
  </HeadingPairs>
  <TitlesOfParts>
    <vt:vector size="9" baseType="lpstr">
      <vt:lpstr>Rida</vt:lpstr>
      <vt:lpstr>37 1-5</vt:lpstr>
      <vt:lpstr>Šablonas LT (senesnis)</vt:lpstr>
      <vt:lpstr>'37 1-5'!Header</vt:lpstr>
      <vt:lpstr>'Šablonas LT (senesnis)'!Header</vt:lpstr>
      <vt:lpstr>'37 1-5'!Km</vt:lpstr>
      <vt:lpstr>'Šablonas LT (senesnis)'!Km</vt:lpstr>
      <vt:lpstr>'37 1-5'!TimeTable</vt:lpstr>
      <vt:lpstr>'Šablonas LT (senesnis)'!TimeTable</vt:lpstr>
    </vt:vector>
  </TitlesOfParts>
  <Manager>Romas Mickus</Manager>
  <Company>UAB Merakas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01-Schedule for line, version 1.3.0328</dc:title>
  <dc:subject>Pikas reports</dc:subject>
  <dc:creator>Evaldas Jadenkus</dc:creator>
  <dc:description>0328 Sumavimas pertraukiamiems LT sablone_x000d_
0313 Krypciu ilgiai rodomi metro tikslumu LT sablone_x000d_
0123 Gatviu eilute padaryta trigubo aukscio</dc:description>
  <cp:lastModifiedBy>Linas Ališauskas</cp:lastModifiedBy>
  <cp:lastPrinted>2021-04-28T10:52:34Z</cp:lastPrinted>
  <dcterms:created xsi:type="dcterms:W3CDTF">2002-10-01T11:50:39Z</dcterms:created>
  <dcterms:modified xsi:type="dcterms:W3CDTF">2025-10-21T12:34:09Z</dcterms:modified>
</cp:coreProperties>
</file>