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rsumin-my.sharepoint.com/personal/jurgita_norkiene_sumin_lt/Documents/Darbalaukis/Teisės aktų projektai/LRV nutarimų projektai/2025/LRV nutarimai dėl priv kelio į Rūdninkus/Derinimas su institucijomis/LRV nutarimas dėl infrastruktūros į Rūdninkų poligoną/"/>
    </mc:Choice>
  </mc:AlternateContent>
  <xr:revisionPtr revIDLastSave="3" documentId="8_{6C8CCB62-C6C0-4C72-B33B-D3A412F15CAC}" xr6:coauthVersionLast="47" xr6:coauthVersionMax="47" xr10:uidLastSave="{A8D61A69-FF5F-481E-BE3A-A984BD7530DE}"/>
  <bookViews>
    <workbookView xWindow="-110" yWindow="-110" windowWidth="19420" windowHeight="10300" xr2:uid="{DB9C8C5C-E1CA-4353-8D2A-CAE7B19F5169}"/>
  </bookViews>
  <sheets>
    <sheet name="Sheet1" sheetId="1" r:id="rId1"/>
  </sheets>
  <externalReferences>
    <externalReference r:id="rId2"/>
  </externalReferenc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3" i="1"/>
  <c r="H12" i="1"/>
  <c r="C12" i="1"/>
  <c r="C11" i="1"/>
  <c r="C10" i="1"/>
  <c r="C9" i="1"/>
  <c r="C8" i="1"/>
  <c r="C7" i="1"/>
  <c r="C4" i="1" s="1"/>
  <c r="C17" i="1" s="1"/>
  <c r="C14" i="1" s="1"/>
  <c r="E6" i="1"/>
  <c r="C6" i="1"/>
  <c r="H5" i="1"/>
  <c r="H17" i="1" s="1"/>
  <c r="C5" i="1"/>
</calcChain>
</file>

<file path=xl/sharedStrings.xml><?xml version="1.0" encoding="utf-8"?>
<sst xmlns="http://schemas.openxmlformats.org/spreadsheetml/2006/main" count="47" uniqueCount="46">
  <si>
    <t>Darbai</t>
  </si>
  <si>
    <t>Kiekis</t>
  </si>
  <si>
    <t>Kainos</t>
  </si>
  <si>
    <t>Pastabos</t>
  </si>
  <si>
    <t>Pastabos SM</t>
  </si>
  <si>
    <t>Esant poreikiui pastatytą 8,7 km infrastruktūrą dalinti pagal turto priklausomybę iki Poligono teritorijos 2,3 km - SM, o Poligono teritorijoje likusi 6,4 km KAM</t>
  </si>
  <si>
    <t>Statinių ir įrenginių statyba</t>
  </si>
  <si>
    <t>~8,7 km</t>
  </si>
  <si>
    <t>Projektavimas+PAV</t>
  </si>
  <si>
    <t>R.M. Reikia įsivertinti riziką, kad reikės projektuoti 2 projektais - iki ir už poligono ž.s. ribos (pagal koordinates arba įrengiant sandūrą, nes turtai skirsis pagal Poligono įstatymo apimtį.</t>
  </si>
  <si>
    <t xml:space="preserve">Poligono teritorija: </t>
  </si>
  <si>
    <t>Reikia užtikrinti, kad nuo pagrindinio kelio einanti į poligoną atšaka ir poligono teritorijoje esanti infrastruktūra, būtų įtraukti į poligono įstatymo apimptį.</t>
  </si>
  <si>
    <t>Išmiškinimas</t>
  </si>
  <si>
    <t>~12,8 Ha</t>
  </si>
  <si>
    <t>KAM išmiškina MP: KAM tik poligone, tai 0,4*f28=1024000</t>
  </si>
  <si>
    <t>Sąmata vertinta pagal preliminarų susitarimą su KAM atstovais, kad medžių išpjovimas ir išvežimas būtų atliekami jų pajėgumais.</t>
  </si>
  <si>
    <t>Pervažos</t>
  </si>
  <si>
    <t>2+4 vnt.</t>
  </si>
  <si>
    <r>
      <t xml:space="preserve">Vienos pervažos kaina 180k infrastruktūra ir 350k signalizacija (2 pervažos). </t>
    </r>
    <r>
      <rPr>
        <b/>
        <sz val="11"/>
        <rFont val="Aptos Narrow"/>
        <family val="2"/>
        <charset val="186"/>
        <scheme val="minor"/>
      </rPr>
      <t>Viso 530 000,-eur</t>
    </r>
  </si>
  <si>
    <t>Vertinta, kad iki poligono ir poligono teritorijoje bus įrengtos 6 pervažos, kurių dvi bus su signalizacijos įrenginiais, o 4 su rankiniu valdymu.</t>
  </si>
  <si>
    <t>Kelio statiniai (pralaidos ir tiltai)</t>
  </si>
  <si>
    <t>8 pral.+1 tilt</t>
  </si>
  <si>
    <t>Įvertinta, kad planuojamoje atšakoje bus kertamas vienas upelis, kuriam bus reikalinga įrengti tiltą ir 8 pralaidos vandens tekėjimui.</t>
  </si>
  <si>
    <t>PK ir krovos kelių paklojimas [1520]</t>
  </si>
  <si>
    <t>8,7+1,6</t>
  </si>
  <si>
    <t>Privažiuojamojo kelio ir krovos kelių tiesimas</t>
  </si>
  <si>
    <t>žemės sankasos įrengimas</t>
  </si>
  <si>
    <t>Augalinio sluoksnio, kelmų/krūmų pašalinimas, reljefo planiravimas, geležinkelio kelio laikančios konstrukcijos (sankasos) supylimas, išilginio ir skersinio profilio suformavimas.</t>
  </si>
  <si>
    <t xml:space="preserve">Naftos gaudyklė, aikštelė, kel.platforma, pakrovimo rampa </t>
  </si>
  <si>
    <t>1+1+1+1</t>
  </si>
  <si>
    <t>Atsižvelgiant į Vokietijos federalinės gynybos ministerijos pareiškimą numatyti krovos keliai, keleivių platforma, aikštelė (14tūkst.kv.m), pakrovimo rampa, naftos gaudyklė.</t>
  </si>
  <si>
    <t>Kiti darbai (baigiamieji, rezervas)</t>
  </si>
  <si>
    <t>Pritaikome užsakovo rezervą iki 10% nenumatytiems darbams ir pabrangimui vystymo laikotarpiui.</t>
  </si>
  <si>
    <t>Eismo valdymo sistemos</t>
  </si>
  <si>
    <t xml:space="preserve">Esamų eismo valdymo sistemų pertvarkymas, naujų diegimas, integravimas į esamą eismo valdymo kontrolės sistemą (EVKS), dviejų pervažų signalizacijos įrenginių diegimas. </t>
  </si>
  <si>
    <t>Nepriklausomai nuo kelio ilgio visa eismo valdymo sistema veiks tik ją centralizuotai valdant iš Jašiūnų st., todėl į Eismo va;dymui užtikrinti sumą neįtraukta tik 4 pervažų pajungimas.</t>
  </si>
  <si>
    <t>Elektrifikacija</t>
  </si>
  <si>
    <t>8,7+17,0 km</t>
  </si>
  <si>
    <t>Kokia ELF vertė nuo Juodšilių iki Jašiūnų?</t>
  </si>
  <si>
    <t>Suplanuota visa kontaktinio tinklo infrastruktūra. Papildoma pastotė nėra numatyta, kadangi užtenka dabartinių pajėgumų. Elektrifikacija vykdoma nuo esamos Juodšilių elektrifikuotos linijos iki Jašiūnų st. ir naujam PK keliui į poligoną.</t>
  </si>
  <si>
    <t>-</t>
  </si>
  <si>
    <t>ESO dalis</t>
  </si>
  <si>
    <t>Kiekvienai pervažai, ...Almantas?</t>
  </si>
  <si>
    <t>Naujų įrenginių, įrangos konteinerių elektros maitinimo prijungimas.</t>
  </si>
  <si>
    <t>Viso</t>
  </si>
  <si>
    <t>Kainos vertintos 2024 m., tačiau pritaikant iki 10% pabrangimą atenančiam 2-4 metų laikotarpiui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</si>
</sst>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1" applyFont="1" applyAlignment="1">
      <alignment horizontal="center"/>
    </xf>
    <xf numFmtId="43" fontId="0" fillId="0" borderId="0" xfId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0" fontId="0" fillId="0" borderId="5" xfId="0" applyBorder="1"/>
    <xf numFmtId="43" fontId="0" fillId="0" borderId="5" xfId="1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top" wrapText="1"/>
    </xf>
    <xf numFmtId="43" fontId="0" fillId="0" borderId="6" xfId="1" applyFont="1" applyBorder="1" applyAlignment="1">
      <alignment wrapText="1"/>
    </xf>
    <xf numFmtId="0" fontId="3" fillId="0" borderId="7" xfId="0" applyFont="1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left" vertical="top" wrapText="1"/>
    </xf>
    <xf numFmtId="43" fontId="0" fillId="0" borderId="6" xfId="1" applyFont="1" applyBorder="1"/>
    <xf numFmtId="0" fontId="4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center" vertical="center"/>
    </xf>
    <xf numFmtId="43" fontId="0" fillId="2" borderId="12" xfId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3" borderId="0" xfId="0" applyFont="1" applyFill="1"/>
    <xf numFmtId="0" fontId="4" fillId="0" borderId="13" xfId="0" applyFont="1" applyBorder="1" applyAlignment="1">
      <alignment horizontal="left" vertical="top" wrapText="1"/>
    </xf>
    <xf numFmtId="0" fontId="2" fillId="0" borderId="0" xfId="0" applyFont="1"/>
    <xf numFmtId="43" fontId="4" fillId="0" borderId="6" xfId="1" applyFont="1" applyBorder="1"/>
    <xf numFmtId="2" fontId="4" fillId="0" borderId="11" xfId="0" applyNumberFormat="1" applyFont="1" applyBorder="1" applyAlignment="1">
      <alignment horizontal="left" vertical="center"/>
    </xf>
    <xf numFmtId="3" fontId="0" fillId="0" borderId="12" xfId="0" applyNumberFormat="1" applyBorder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0" fontId="0" fillId="0" borderId="13" xfId="0" applyBorder="1" applyAlignment="1">
      <alignment horizontal="left" vertical="top" wrapText="1"/>
    </xf>
    <xf numFmtId="2" fontId="0" fillId="0" borderId="11" xfId="0" applyNumberFormat="1" applyBorder="1" applyAlignment="1">
      <alignment horizontal="left" vertical="center"/>
    </xf>
    <xf numFmtId="0" fontId="0" fillId="0" borderId="12" xfId="0" quotePrefix="1" applyBorder="1" applyAlignment="1">
      <alignment horizontal="center" vertical="center"/>
    </xf>
    <xf numFmtId="49" fontId="4" fillId="0" borderId="0" xfId="0" applyNumberFormat="1" applyFont="1"/>
    <xf numFmtId="43" fontId="4" fillId="2" borderId="12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0" fillId="0" borderId="15" xfId="0" applyNumberFormat="1" applyBorder="1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43" fontId="0" fillId="2" borderId="16" xfId="1" applyFont="1" applyFill="1" applyBorder="1" applyAlignment="1">
      <alignment horizontal="center" vertical="center"/>
    </xf>
    <xf numFmtId="0" fontId="4" fillId="0" borderId="17" xfId="0" applyFont="1" applyBorder="1"/>
    <xf numFmtId="0" fontId="0" fillId="0" borderId="17" xfId="0" applyBorder="1"/>
    <xf numFmtId="0" fontId="0" fillId="0" borderId="18" xfId="0" applyBorder="1" applyAlignment="1">
      <alignment horizontal="left" vertical="top" wrapText="1"/>
    </xf>
    <xf numFmtId="0" fontId="4" fillId="0" borderId="9" xfId="0" applyFont="1" applyBorder="1"/>
    <xf numFmtId="43" fontId="0" fillId="0" borderId="0" xfId="1" applyFont="1" applyAlignment="1">
      <alignment wrapText="1"/>
    </xf>
    <xf numFmtId="0" fontId="3" fillId="0" borderId="15" xfId="0" applyFont="1" applyBorder="1" applyAlignment="1">
      <alignment horizontal="left" vertical="center"/>
    </xf>
    <xf numFmtId="43" fontId="0" fillId="4" borderId="0" xfId="0" applyNumberFormat="1" applyFill="1"/>
    <xf numFmtId="43" fontId="0" fillId="0" borderId="6" xfId="1" applyFont="1" applyBorder="1" applyAlignment="1">
      <alignment horizontal="right"/>
    </xf>
    <xf numFmtId="0" fontId="0" fillId="0" borderId="15" xfId="0" applyBorder="1" applyAlignment="1">
      <alignment horizontal="left" vertical="center"/>
    </xf>
    <xf numFmtId="43" fontId="0" fillId="0" borderId="16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/>
    </xf>
    <xf numFmtId="3" fontId="0" fillId="0" borderId="19" xfId="0" applyNumberFormat="1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43" fontId="6" fillId="5" borderId="20" xfId="1" applyFont="1" applyFill="1" applyBorder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182790</xdr:rowOff>
    </xdr:from>
    <xdr:to>
      <xdr:col>14</xdr:col>
      <xdr:colOff>102907</xdr:colOff>
      <xdr:row>54</xdr:row>
      <xdr:rowOff>110128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8A4CCC3-E48A-49FC-B79F-4B1E523E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143219"/>
          <a:ext cx="20513621" cy="83637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152400</xdr:rowOff>
    </xdr:from>
    <xdr:to>
      <xdr:col>14</xdr:col>
      <xdr:colOff>65477</xdr:colOff>
      <xdr:row>108</xdr:row>
      <xdr:rowOff>114299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C324556-EBB4-436D-92DD-1C84E32D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" y="16916400"/>
          <a:ext cx="20509301" cy="828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lt-my.sharepoint.com/personal/arnas_kubilius_ltginfra_lt/Documents/Microsoft%20Teams%20Chat%20Files/20241118%20Rudininkai%20kelio%20kaina.%20vol2.%202.xlsx" TargetMode="External"/><Relationship Id="rId1" Type="http://schemas.openxmlformats.org/officeDocument/2006/relationships/externalLinkPath" Target="https://lglt-my.sharepoint.com/personal/arnas_kubilius_ltginfra_lt/Documents/Microsoft%20Teams%20Chat%20Files/20241118%20Rudininkai%20kelio%20kaina.%20vol2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ūdninkų sąmata"/>
      <sheetName val="Zemes d. I ruozas"/>
      <sheetName val="Zemes d. II ruozas"/>
      <sheetName val="Peronas"/>
      <sheetName val="KAM simple"/>
      <sheetName val="KAM simple "/>
      <sheetName val="Sheet1"/>
    </sheetNames>
    <sheetDataSet>
      <sheetData sheetId="0">
        <row r="3">
          <cell r="F3">
            <v>3600</v>
          </cell>
        </row>
        <row r="4">
          <cell r="F4">
            <v>960000</v>
          </cell>
        </row>
        <row r="5">
          <cell r="F5">
            <v>500000</v>
          </cell>
        </row>
        <row r="6">
          <cell r="F6">
            <v>2250000</v>
          </cell>
        </row>
        <row r="7">
          <cell r="F7">
            <v>300000</v>
          </cell>
        </row>
        <row r="8">
          <cell r="F8">
            <v>132825</v>
          </cell>
        </row>
        <row r="9">
          <cell r="F9">
            <v>912000</v>
          </cell>
        </row>
        <row r="10">
          <cell r="F10">
            <v>72000</v>
          </cell>
        </row>
        <row r="11">
          <cell r="F11">
            <v>2659875</v>
          </cell>
        </row>
        <row r="12">
          <cell r="F12">
            <v>726000</v>
          </cell>
        </row>
        <row r="13">
          <cell r="F13">
            <v>240000</v>
          </cell>
        </row>
        <row r="14">
          <cell r="F14">
            <v>608000</v>
          </cell>
        </row>
        <row r="15">
          <cell r="F15">
            <v>200000</v>
          </cell>
        </row>
        <row r="16">
          <cell r="F16">
            <v>525000</v>
          </cell>
        </row>
        <row r="17">
          <cell r="F17">
            <v>48000</v>
          </cell>
        </row>
        <row r="18">
          <cell r="F18">
            <v>360000</v>
          </cell>
        </row>
        <row r="19">
          <cell r="F19">
            <v>600000</v>
          </cell>
        </row>
        <row r="20">
          <cell r="F20">
            <v>150000</v>
          </cell>
        </row>
        <row r="21">
          <cell r="F21">
            <v>48000</v>
          </cell>
        </row>
        <row r="23">
          <cell r="F23">
            <v>1129530</v>
          </cell>
        </row>
        <row r="24">
          <cell r="F24">
            <v>12424830</v>
          </cell>
        </row>
        <row r="28">
          <cell r="F28">
            <v>9450</v>
          </cell>
        </row>
        <row r="29">
          <cell r="F29">
            <v>2560000</v>
          </cell>
        </row>
        <row r="30">
          <cell r="F30">
            <v>200000</v>
          </cell>
        </row>
        <row r="31">
          <cell r="F31">
            <v>2040000</v>
          </cell>
        </row>
        <row r="32">
          <cell r="F32">
            <v>120000</v>
          </cell>
        </row>
        <row r="33">
          <cell r="F33">
            <v>35200</v>
          </cell>
        </row>
        <row r="34">
          <cell r="F34">
            <v>363825</v>
          </cell>
        </row>
        <row r="35">
          <cell r="F35">
            <v>2394000</v>
          </cell>
        </row>
        <row r="36">
          <cell r="F36">
            <v>189000</v>
          </cell>
        </row>
        <row r="37">
          <cell r="F37">
            <v>126000</v>
          </cell>
        </row>
        <row r="38">
          <cell r="F38">
            <v>400000</v>
          </cell>
        </row>
        <row r="39">
          <cell r="F39">
            <v>250000</v>
          </cell>
        </row>
        <row r="40">
          <cell r="F40">
            <v>720000</v>
          </cell>
        </row>
        <row r="42">
          <cell r="F42">
            <v>940747.5</v>
          </cell>
        </row>
        <row r="43">
          <cell r="F43">
            <v>10348222.5</v>
          </cell>
        </row>
        <row r="54">
          <cell r="F54">
            <v>2445696</v>
          </cell>
        </row>
        <row r="64">
          <cell r="F64">
            <v>14116137</v>
          </cell>
        </row>
        <row r="65">
          <cell r="F65">
            <v>6422890</v>
          </cell>
        </row>
        <row r="69">
          <cell r="F69">
            <v>12250500</v>
          </cell>
        </row>
        <row r="74">
          <cell r="F74">
            <v>500000</v>
          </cell>
        </row>
        <row r="76">
          <cell r="F76">
            <v>250000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00A5-D440-44A8-AED6-76F9DC9CF438}">
  <dimension ref="A1:I21"/>
  <sheetViews>
    <sheetView tabSelected="1" topLeftCell="C33" zoomScale="70" zoomScaleNormal="70" workbookViewId="0">
      <selection activeCell="C5" sqref="C5"/>
    </sheetView>
  </sheetViews>
  <sheetFormatPr defaultRowHeight="14.5" x14ac:dyDescent="0.35"/>
  <cols>
    <col min="1" max="1" width="55.7265625" customWidth="1"/>
    <col min="2" max="2" width="12.26953125" customWidth="1"/>
    <col min="3" max="3" width="36.26953125" style="2" customWidth="1"/>
    <col min="4" max="5" width="8.81640625" hidden="1" customWidth="1"/>
    <col min="6" max="6" width="47.54296875" customWidth="1"/>
    <col min="8" max="8" width="45.6328125" style="2" customWidth="1"/>
    <col min="9" max="9" width="42.6328125" customWidth="1"/>
  </cols>
  <sheetData>
    <row r="1" spans="1:9" ht="15" thickBot="1" x14ac:dyDescent="0.4">
      <c r="C1" s="1"/>
    </row>
    <row r="2" spans="1:9" ht="58.5" thickBot="1" x14ac:dyDescent="0.4">
      <c r="A2" s="3" t="s">
        <v>0</v>
      </c>
      <c r="B2" s="4" t="s">
        <v>1</v>
      </c>
      <c r="C2" s="5" t="s">
        <v>2</v>
      </c>
      <c r="D2" s="6" t="s">
        <v>3</v>
      </c>
      <c r="E2" s="6"/>
      <c r="F2" s="7" t="s">
        <v>4</v>
      </c>
      <c r="H2" s="8" t="s">
        <v>5</v>
      </c>
    </row>
    <row r="3" spans="1:9" ht="15" thickBot="1" x14ac:dyDescent="0.4">
      <c r="A3" s="9"/>
      <c r="B3" s="9"/>
      <c r="C3" s="10"/>
      <c r="D3" s="11"/>
      <c r="F3" s="12"/>
      <c r="H3" s="13"/>
    </row>
    <row r="4" spans="1:9" x14ac:dyDescent="0.35">
      <c r="A4" s="14" t="s">
        <v>6</v>
      </c>
      <c r="B4" s="15" t="s">
        <v>7</v>
      </c>
      <c r="C4" s="16">
        <f>SUM(C5:C12)</f>
        <v>25050357.75</v>
      </c>
      <c r="D4" s="17"/>
      <c r="E4" s="17"/>
      <c r="F4" s="18"/>
      <c r="H4" s="19"/>
    </row>
    <row r="5" spans="1:9" s="26" customFormat="1" ht="333.5" x14ac:dyDescent="0.35">
      <c r="A5" s="20" t="s">
        <v>8</v>
      </c>
      <c r="B5" s="21"/>
      <c r="C5" s="22">
        <f>('[1]Rūdninkų sąmata'!F24+'[1]Rūdninkų sąmata'!F43)*0.1</f>
        <v>2277305.25</v>
      </c>
      <c r="D5" s="23" t="s">
        <v>9</v>
      </c>
      <c r="E5" s="24" t="s">
        <v>10</v>
      </c>
      <c r="F5" s="25" t="s">
        <v>11</v>
      </c>
      <c r="H5" s="27">
        <f>SUM(H6:H10)*0.0933</f>
        <v>544911.65249999997</v>
      </c>
    </row>
    <row r="6" spans="1:9" ht="43.5" x14ac:dyDescent="0.35">
      <c r="A6" s="28" t="s">
        <v>12</v>
      </c>
      <c r="B6" s="29" t="s">
        <v>13</v>
      </c>
      <c r="C6" s="22">
        <f>'[1]Rūdninkų sąmata'!F29*0.4</f>
        <v>1024000</v>
      </c>
      <c r="D6" s="30" t="s">
        <v>14</v>
      </c>
      <c r="E6" s="31">
        <f>'[1]Rūdninkų sąmata'!F29*0.4</f>
        <v>1024000</v>
      </c>
      <c r="F6" s="32" t="s">
        <v>15</v>
      </c>
      <c r="H6" s="19">
        <v>960000</v>
      </c>
    </row>
    <row r="7" spans="1:9" ht="43.5" x14ac:dyDescent="0.35">
      <c r="A7" s="33" t="s">
        <v>16</v>
      </c>
      <c r="B7" s="34" t="s">
        <v>17</v>
      </c>
      <c r="C7" s="22">
        <f>'[1]Rūdninkų sąmata'!F18+'[1]Rūdninkų sąmata'!F40</f>
        <v>1080000</v>
      </c>
      <c r="D7" s="35" t="s">
        <v>18</v>
      </c>
      <c r="F7" s="32" t="s">
        <v>19</v>
      </c>
      <c r="H7" s="19">
        <v>360000</v>
      </c>
    </row>
    <row r="8" spans="1:9" ht="43.5" x14ac:dyDescent="0.35">
      <c r="A8" s="33" t="s">
        <v>20</v>
      </c>
      <c r="B8" s="34" t="s">
        <v>21</v>
      </c>
      <c r="C8" s="22">
        <f>'[1]Rūdninkų sąmata'!F20+'[1]Rūdninkų sąmata'!F38+'[1]Rūdninkų sąmata'!F39</f>
        <v>800000</v>
      </c>
      <c r="D8" s="35"/>
      <c r="F8" s="32" t="s">
        <v>22</v>
      </c>
      <c r="H8" s="19">
        <v>150000</v>
      </c>
    </row>
    <row r="9" spans="1:9" x14ac:dyDescent="0.35">
      <c r="A9" s="33" t="s">
        <v>23</v>
      </c>
      <c r="B9" s="29" t="s">
        <v>24</v>
      </c>
      <c r="C9" s="36">
        <f>'[1]Rūdninkų sąmata'!F9+'[1]Rūdninkų sąmata'!F10+'[1]Rūdninkų sąmata'!F14+'[1]Rūdninkų sąmata'!F15+'[1]Rūdninkų sąmata'!F16+'[1]Rūdninkų sąmata'!F17+'[1]Rūdninkų sąmata'!F35+'[1]Rūdninkų sąmata'!F36</f>
        <v>4948000</v>
      </c>
      <c r="D9" s="61"/>
      <c r="F9" s="32" t="s">
        <v>25</v>
      </c>
      <c r="H9" s="19">
        <v>1184000</v>
      </c>
    </row>
    <row r="10" spans="1:9" ht="58" x14ac:dyDescent="0.35">
      <c r="A10" s="20" t="s">
        <v>26</v>
      </c>
      <c r="B10" s="29" t="s">
        <v>24</v>
      </c>
      <c r="C10" s="22">
        <f>SUM('[1]Rūdninkų sąmata'!F3:F8,'[1]Rūdninkų sąmata'!F28:F34)-C6</f>
        <v>8450900</v>
      </c>
      <c r="D10" s="62"/>
      <c r="F10" s="32" t="s">
        <v>27</v>
      </c>
      <c r="H10" s="19">
        <v>3186425</v>
      </c>
    </row>
    <row r="11" spans="1:9" ht="58" x14ac:dyDescent="0.35">
      <c r="A11" s="20" t="s">
        <v>28</v>
      </c>
      <c r="B11" s="29" t="s">
        <v>29</v>
      </c>
      <c r="C11" s="22">
        <f>'[1]Rūdninkų sąmata'!F11+'[1]Rūdninkų sąmata'!F12+'[1]Rūdninkų sąmata'!F13+'[1]Rūdninkų sąmata'!F19</f>
        <v>4225875</v>
      </c>
      <c r="D11" s="37"/>
      <c r="F11" s="32" t="s">
        <v>30</v>
      </c>
      <c r="H11" s="19">
        <v>0</v>
      </c>
    </row>
    <row r="12" spans="1:9" ht="29.5" thickBot="1" x14ac:dyDescent="0.4">
      <c r="A12" s="38" t="s">
        <v>31</v>
      </c>
      <c r="B12" s="39"/>
      <c r="C12" s="40">
        <f>'[1]Rūdninkų sąmata'!F21+'[1]Rūdninkų sąmata'!F23+'[1]Rūdninkų sąmata'!F37+'[1]Rūdninkų sąmata'!F42</f>
        <v>2244277.5</v>
      </c>
      <c r="D12" s="41"/>
      <c r="E12" s="42"/>
      <c r="F12" s="43" t="s">
        <v>32</v>
      </c>
      <c r="H12" s="19">
        <f>1129530*0.5</f>
        <v>564765</v>
      </c>
    </row>
    <row r="13" spans="1:9" ht="58" x14ac:dyDescent="0.35">
      <c r="A13" s="14" t="s">
        <v>33</v>
      </c>
      <c r="B13" s="15"/>
      <c r="C13" s="16">
        <f>'[1]Rūdninkų sąmata'!F69+'[1]Rūdninkų sąmata'!F74</f>
        <v>12750500</v>
      </c>
      <c r="D13" s="44"/>
      <c r="E13" s="17"/>
      <c r="F13" s="18" t="s">
        <v>34</v>
      </c>
      <c r="H13" s="19">
        <v>12520500</v>
      </c>
      <c r="I13" s="45" t="s">
        <v>35</v>
      </c>
    </row>
    <row r="14" spans="1:9" ht="15" thickBot="1" x14ac:dyDescent="0.4">
      <c r="A14" s="46"/>
      <c r="B14" s="39"/>
      <c r="C14" s="47">
        <f>C17-C15</f>
        <v>38050857.75</v>
      </c>
      <c r="D14" s="41"/>
      <c r="E14" s="42"/>
      <c r="F14" s="43"/>
      <c r="H14" s="19"/>
      <c r="I14" s="2"/>
    </row>
    <row r="15" spans="1:9" ht="72.5" x14ac:dyDescent="0.35">
      <c r="A15" s="14" t="s">
        <v>36</v>
      </c>
      <c r="B15" s="15" t="s">
        <v>37</v>
      </c>
      <c r="C15" s="16">
        <f>'[1]Rūdninkų sąmata'!F54+'[1]Rūdninkų sąmata'!F65+'[1]Rūdninkų sąmata'!F64</f>
        <v>22984723</v>
      </c>
      <c r="D15" s="44" t="s">
        <v>38</v>
      </c>
      <c r="E15" s="17"/>
      <c r="F15" s="18" t="s">
        <v>39</v>
      </c>
      <c r="H15" s="48" t="s">
        <v>40</v>
      </c>
    </row>
    <row r="16" spans="1:9" ht="29.5" thickBot="1" x14ac:dyDescent="0.4">
      <c r="A16" s="49" t="s">
        <v>41</v>
      </c>
      <c r="B16" s="39"/>
      <c r="C16" s="50">
        <f>'[1]Rūdninkų sąmata'!F76</f>
        <v>250000</v>
      </c>
      <c r="D16" s="41" t="s">
        <v>42</v>
      </c>
      <c r="E16" s="42"/>
      <c r="F16" s="43" t="s">
        <v>43</v>
      </c>
      <c r="H16" s="48"/>
    </row>
    <row r="17" spans="1:8" ht="15" thickBot="1" x14ac:dyDescent="0.4">
      <c r="A17" s="51" t="s">
        <v>44</v>
      </c>
      <c r="B17" s="52"/>
      <c r="C17" s="53">
        <f>SUM(C4,C13,C15,C16)</f>
        <v>61035580.75</v>
      </c>
      <c r="D17" s="54" t="s">
        <v>45</v>
      </c>
      <c r="E17" s="55"/>
      <c r="F17" s="56"/>
      <c r="H17" s="57">
        <f>SUM(H5:H16)</f>
        <v>19470601.6525</v>
      </c>
    </row>
    <row r="18" spans="1:8" x14ac:dyDescent="0.35">
      <c r="E18" s="58"/>
      <c r="F18" s="59"/>
    </row>
    <row r="19" spans="1:8" x14ac:dyDescent="0.35">
      <c r="F19" s="59"/>
    </row>
    <row r="20" spans="1:8" ht="18" x14ac:dyDescent="0.4">
      <c r="A20" s="60"/>
      <c r="F20" s="59"/>
    </row>
    <row r="21" spans="1:8" x14ac:dyDescent="0.35">
      <c r="F21" s="59"/>
    </row>
  </sheetData>
  <mergeCells count="1">
    <mergeCell ref="D9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Maslauskienė</dc:creator>
  <cp:lastModifiedBy>Jurgita Norkienė</cp:lastModifiedBy>
  <dcterms:created xsi:type="dcterms:W3CDTF">2025-02-06T08:56:47Z</dcterms:created>
  <dcterms:modified xsi:type="dcterms:W3CDTF">2025-12-04T08:59:59Z</dcterms:modified>
</cp:coreProperties>
</file>