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iunas\Desktop\2025 m numatomų darbų rengimai\2024 m numatomų darbų rengimai\Priežiūra su safalto danga\"/>
    </mc:Choice>
  </mc:AlternateContent>
  <xr:revisionPtr revIDLastSave="0" documentId="13_ncr:1_{E64F4FE3-35ED-405E-86F9-39D06E514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6" l="1"/>
  <c r="AR76" i="6"/>
  <c r="AT76" i="6" s="1"/>
  <c r="AS76" i="6" s="1"/>
  <c r="AS68" i="6" s="1"/>
  <c r="G76" i="6"/>
  <c r="I76" i="6" s="1"/>
  <c r="AR75" i="6"/>
  <c r="AT75" i="6" s="1"/>
  <c r="T75" i="6"/>
  <c r="S75" i="6" s="1"/>
  <c r="Q75" i="6"/>
  <c r="P75" i="6" s="1"/>
  <c r="G75" i="6"/>
  <c r="I75" i="6" s="1"/>
  <c r="AT74" i="6"/>
  <c r="AS74" i="6"/>
  <c r="AS73" i="6" s="1"/>
  <c r="AR74" i="6"/>
  <c r="AR73" i="6" s="1"/>
  <c r="T74" i="6"/>
  <c r="S74" i="6" s="1"/>
  <c r="O74" i="6"/>
  <c r="L74" i="6"/>
  <c r="K74" i="6" s="1"/>
  <c r="I74" i="6"/>
  <c r="G74" i="6"/>
  <c r="AT73" i="6"/>
  <c r="AQ73" i="6"/>
  <c r="R73" i="6"/>
  <c r="R68" i="6" s="1"/>
  <c r="L73" i="6"/>
  <c r="F73" i="6" s="1"/>
  <c r="J73" i="6"/>
  <c r="AS72" i="6"/>
  <c r="AR72" i="6"/>
  <c r="AT72" i="6" s="1"/>
  <c r="AT68" i="6" s="1"/>
  <c r="T72" i="6"/>
  <c r="S72" i="6"/>
  <c r="R72" i="6"/>
  <c r="Q72" i="6"/>
  <c r="P72" i="6"/>
  <c r="O72" i="6"/>
  <c r="K72" i="6"/>
  <c r="I72" i="6"/>
  <c r="H72" i="6"/>
  <c r="G72" i="6"/>
  <c r="AT71" i="6"/>
  <c r="AS71" i="6"/>
  <c r="AR71" i="6"/>
  <c r="T71" i="6"/>
  <c r="S71" i="6" s="1"/>
  <c r="S67" i="6" s="1"/>
  <c r="Q71" i="6"/>
  <c r="P71" i="6"/>
  <c r="K71" i="6"/>
  <c r="K67" i="6" s="1"/>
  <c r="I71" i="6"/>
  <c r="G71" i="6"/>
  <c r="G67" i="6" s="1"/>
  <c r="AT70" i="6"/>
  <c r="AT69" i="6" s="1"/>
  <c r="AS70" i="6"/>
  <c r="AS69" i="6" s="1"/>
  <c r="AR70" i="6"/>
  <c r="AR69" i="6" s="1"/>
  <c r="T70" i="6"/>
  <c r="S70" i="6" s="1"/>
  <c r="S69" i="6" s="1"/>
  <c r="O70" i="6"/>
  <c r="Q70" i="6" s="1"/>
  <c r="L70" i="6"/>
  <c r="I70" i="6" s="1"/>
  <c r="G70" i="6"/>
  <c r="G66" i="6" s="1"/>
  <c r="I66" i="6" s="1"/>
  <c r="AQ69" i="6"/>
  <c r="T69" i="6"/>
  <c r="N69" i="6" s="1"/>
  <c r="R69" i="6"/>
  <c r="L69" i="6"/>
  <c r="F69" i="6" s="1"/>
  <c r="J69" i="6"/>
  <c r="AR68" i="6"/>
  <c r="L68" i="6"/>
  <c r="K68" i="6"/>
  <c r="J68" i="6"/>
  <c r="AR67" i="6"/>
  <c r="R67" i="6"/>
  <c r="O67" i="6"/>
  <c r="L67" i="6"/>
  <c r="J67" i="6"/>
  <c r="AR66" i="6"/>
  <c r="AT66" i="6" s="1"/>
  <c r="AT65" i="6" s="1"/>
  <c r="R66" i="6"/>
  <c r="T66" i="6" s="1"/>
  <c r="L66" i="6"/>
  <c r="K66" i="6"/>
  <c r="AQ65" i="6"/>
  <c r="AT58" i="6"/>
  <c r="AS58" i="6" s="1"/>
  <c r="T58" i="6"/>
  <c r="S58" i="6" s="1"/>
  <c r="Q58" i="6"/>
  <c r="P58" i="6"/>
  <c r="L58" i="6"/>
  <c r="K58" i="6" s="1"/>
  <c r="I58" i="6"/>
  <c r="H58" i="6" s="1"/>
  <c r="AT57" i="6"/>
  <c r="AT56" i="6" s="1"/>
  <c r="AS57" i="6"/>
  <c r="AR57" i="6"/>
  <c r="AR56" i="6" s="1"/>
  <c r="T57" i="6"/>
  <c r="S57" i="6" s="1"/>
  <c r="S56" i="6" s="1"/>
  <c r="Q57" i="6"/>
  <c r="P57" i="6" s="1"/>
  <c r="P56" i="6" s="1"/>
  <c r="O57" i="6"/>
  <c r="L57" i="6"/>
  <c r="I57" i="6" s="1"/>
  <c r="I56" i="6" s="1"/>
  <c r="K57" i="6"/>
  <c r="H57" i="6"/>
  <c r="G57" i="6"/>
  <c r="G56" i="6" s="1"/>
  <c r="AS56" i="6"/>
  <c r="AQ56" i="6"/>
  <c r="R56" i="6"/>
  <c r="O56" i="6"/>
  <c r="J56" i="6"/>
  <c r="AT55" i="6"/>
  <c r="AS55" i="6" s="1"/>
  <c r="T55" i="6"/>
  <c r="S55" i="6" s="1"/>
  <c r="Q55" i="6"/>
  <c r="P55" i="6"/>
  <c r="L55" i="6"/>
  <c r="K55" i="6"/>
  <c r="K52" i="6" s="1"/>
  <c r="I55" i="6"/>
  <c r="H55" i="6" s="1"/>
  <c r="AT54" i="6"/>
  <c r="AS54" i="6"/>
  <c r="AS53" i="6" s="1"/>
  <c r="AR54" i="6"/>
  <c r="T54" i="6"/>
  <c r="S54" i="6" s="1"/>
  <c r="O54" i="6"/>
  <c r="O53" i="6" s="1"/>
  <c r="L54" i="6"/>
  <c r="K54" i="6" s="1"/>
  <c r="G54" i="6"/>
  <c r="AT53" i="6"/>
  <c r="AQ53" i="6"/>
  <c r="R53" i="6"/>
  <c r="J53" i="6"/>
  <c r="G53" i="6"/>
  <c r="AR52" i="6"/>
  <c r="T52" i="6"/>
  <c r="R52" i="6"/>
  <c r="Q52" i="6"/>
  <c r="O52" i="6"/>
  <c r="J52" i="6"/>
  <c r="I52" i="6"/>
  <c r="G52" i="6"/>
  <c r="AT51" i="6"/>
  <c r="AS51" i="6"/>
  <c r="AS50" i="6" s="1"/>
  <c r="R51" i="6"/>
  <c r="T51" i="6" s="1"/>
  <c r="O51" i="6"/>
  <c r="Q51" i="6" s="1"/>
  <c r="P51" i="6" s="1"/>
  <c r="L51" i="6"/>
  <c r="K51" i="6" s="1"/>
  <c r="J51" i="6"/>
  <c r="I51" i="6"/>
  <c r="I50" i="6" s="1"/>
  <c r="AT50" i="6"/>
  <c r="AQ50" i="6"/>
  <c r="R50" i="6"/>
  <c r="R42" i="6" s="1"/>
  <c r="J50" i="6"/>
  <c r="AR45" i="6"/>
  <c r="AT45" i="6" s="1"/>
  <c r="T45" i="6"/>
  <c r="S45" i="6" s="1"/>
  <c r="S43" i="6" s="1"/>
  <c r="S38" i="6" s="1"/>
  <c r="Q45" i="6"/>
  <c r="P45" i="6"/>
  <c r="L45" i="6"/>
  <c r="K45" i="6" s="1"/>
  <c r="G45" i="6"/>
  <c r="AT44" i="6"/>
  <c r="AT43" i="6" s="1"/>
  <c r="AS44" i="6"/>
  <c r="AS43" i="6" s="1"/>
  <c r="AR44" i="6"/>
  <c r="AR43" i="6" s="1"/>
  <c r="T44" i="6"/>
  <c r="S44" i="6"/>
  <c r="O44" i="6"/>
  <c r="Q44" i="6" s="1"/>
  <c r="L44" i="6"/>
  <c r="K44" i="6" s="1"/>
  <c r="G44" i="6"/>
  <c r="AQ43" i="6"/>
  <c r="T43" i="6"/>
  <c r="T38" i="6" s="1"/>
  <c r="R43" i="6"/>
  <c r="L43" i="6"/>
  <c r="F43" i="6" s="1"/>
  <c r="J43" i="6"/>
  <c r="AT42" i="6"/>
  <c r="L42" i="6"/>
  <c r="K42" i="6" s="1"/>
  <c r="AT41" i="6"/>
  <c r="AS41" i="6"/>
  <c r="T41" i="6"/>
  <c r="T39" i="6" s="1"/>
  <c r="N39" i="6" s="1"/>
  <c r="Q41" i="6"/>
  <c r="P41" i="6" s="1"/>
  <c r="L41" i="6"/>
  <c r="L39" i="6" s="1"/>
  <c r="F39" i="6" s="1"/>
  <c r="I41" i="6"/>
  <c r="H41" i="6" s="1"/>
  <c r="AT40" i="6"/>
  <c r="AT39" i="6" s="1"/>
  <c r="AS40" i="6"/>
  <c r="AS39" i="6" s="1"/>
  <c r="AR40" i="6"/>
  <c r="T40" i="6"/>
  <c r="S40" i="6"/>
  <c r="O40" i="6"/>
  <c r="Q40" i="6" s="1"/>
  <c r="L40" i="6"/>
  <c r="K40" i="6" s="1"/>
  <c r="H40" i="6" s="1"/>
  <c r="H39" i="6" s="1"/>
  <c r="G40" i="6"/>
  <c r="G39" i="6" s="1"/>
  <c r="AR39" i="6"/>
  <c r="AQ39" i="6"/>
  <c r="R39" i="6"/>
  <c r="J39" i="6"/>
  <c r="AT38" i="6"/>
  <c r="AS38" i="6"/>
  <c r="AR38" i="6"/>
  <c r="R38" i="6"/>
  <c r="L38" i="6"/>
  <c r="K38" i="6"/>
  <c r="H38" i="6"/>
  <c r="G38" i="6"/>
  <c r="AR37" i="6"/>
  <c r="R37" i="6"/>
  <c r="O37" i="6"/>
  <c r="J37" i="6"/>
  <c r="L37" i="6" s="1"/>
  <c r="AT36" i="6"/>
  <c r="AT35" i="6" s="1"/>
  <c r="AS36" i="6"/>
  <c r="AS35" i="6" s="1"/>
  <c r="AR36" i="6"/>
  <c r="AR35" i="6" s="1"/>
  <c r="R36" i="6"/>
  <c r="R35" i="6" s="1"/>
  <c r="L36" i="6"/>
  <c r="K36" i="6" s="1"/>
  <c r="I36" i="6"/>
  <c r="AQ35" i="6"/>
  <c r="AS45" i="6" l="1"/>
  <c r="AT37" i="6"/>
  <c r="K37" i="6"/>
  <c r="L35" i="6"/>
  <c r="F35" i="6" s="1"/>
  <c r="K50" i="6"/>
  <c r="H51" i="6"/>
  <c r="S39" i="6"/>
  <c r="J35" i="6"/>
  <c r="P37" i="6"/>
  <c r="L65" i="6"/>
  <c r="F65" i="6" s="1"/>
  <c r="T67" i="6"/>
  <c r="K70" i="6"/>
  <c r="H71" i="6"/>
  <c r="G43" i="6"/>
  <c r="S52" i="6"/>
  <c r="K65" i="6"/>
  <c r="I73" i="6"/>
  <c r="S41" i="6"/>
  <c r="I54" i="6"/>
  <c r="I53" i="6" s="1"/>
  <c r="T56" i="6"/>
  <c r="N56" i="6" s="1"/>
  <c r="I69" i="6"/>
  <c r="O66" i="6"/>
  <c r="Q66" i="6" s="1"/>
  <c r="I40" i="6"/>
  <c r="I39" i="6" s="1"/>
  <c r="AS37" i="6"/>
  <c r="AS52" i="6"/>
  <c r="J65" i="6"/>
  <c r="O69" i="6"/>
  <c r="P67" i="6"/>
  <c r="T73" i="6"/>
  <c r="O50" i="6"/>
  <c r="O42" i="6" s="1"/>
  <c r="Q54" i="6"/>
  <c r="Q53" i="6" s="1"/>
  <c r="L53" i="6"/>
  <c r="F53" i="6" s="1"/>
  <c r="Q56" i="6"/>
  <c r="Q67" i="6"/>
  <c r="G36" i="6"/>
  <c r="G35" i="6" s="1"/>
  <c r="I42" i="6"/>
  <c r="I38" i="6" s="1"/>
  <c r="T37" i="6"/>
  <c r="T35" i="6" s="1"/>
  <c r="N35" i="6" s="1"/>
  <c r="Q50" i="6"/>
  <c r="Q42" i="6" s="1"/>
  <c r="S53" i="6"/>
  <c r="P52" i="6"/>
  <c r="P50" i="6" s="1"/>
  <c r="P42" i="6" s="1"/>
  <c r="AR65" i="6"/>
  <c r="T36" i="6"/>
  <c r="K41" i="6"/>
  <c r="K39" i="6" s="1"/>
  <c r="AR51" i="6"/>
  <c r="AR50" i="6" s="1"/>
  <c r="K56" i="6"/>
  <c r="G73" i="6"/>
  <c r="Q43" i="6"/>
  <c r="Q38" i="6" s="1"/>
  <c r="P44" i="6"/>
  <c r="P43" i="6" s="1"/>
  <c r="P38" i="6" s="1"/>
  <c r="H54" i="6"/>
  <c r="H53" i="6" s="1"/>
  <c r="K53" i="6"/>
  <c r="K35" i="6"/>
  <c r="H36" i="6"/>
  <c r="H37" i="6"/>
  <c r="I37" i="6"/>
  <c r="I35" i="6" s="1"/>
  <c r="H56" i="6"/>
  <c r="H52" i="6"/>
  <c r="P40" i="6"/>
  <c r="P39" i="6" s="1"/>
  <c r="Q39" i="6"/>
  <c r="H50" i="6"/>
  <c r="T50" i="6"/>
  <c r="S51" i="6"/>
  <c r="S50" i="6" s="1"/>
  <c r="S42" i="6" s="1"/>
  <c r="I67" i="6"/>
  <c r="H75" i="6"/>
  <c r="AT67" i="6"/>
  <c r="AS75" i="6"/>
  <c r="AS67" i="6" s="1"/>
  <c r="AS65" i="6" s="1"/>
  <c r="K43" i="6"/>
  <c r="H44" i="6"/>
  <c r="H43" i="6" s="1"/>
  <c r="K73" i="6"/>
  <c r="H74" i="6"/>
  <c r="Q69" i="6"/>
  <c r="P70" i="6"/>
  <c r="P69" i="6" s="1"/>
  <c r="S73" i="6"/>
  <c r="S68" i="6" s="1"/>
  <c r="I68" i="6"/>
  <c r="I65" i="6" s="1"/>
  <c r="H76" i="6"/>
  <c r="H68" i="6" s="1"/>
  <c r="T65" i="6"/>
  <c r="N65" i="6" s="1"/>
  <c r="S66" i="6"/>
  <c r="S65" i="6" s="1"/>
  <c r="O65" i="6"/>
  <c r="N43" i="6"/>
  <c r="G37" i="6"/>
  <c r="Q37" i="6"/>
  <c r="O43" i="6"/>
  <c r="O38" i="6" s="1"/>
  <c r="T53" i="6"/>
  <c r="N53" i="6" s="1"/>
  <c r="R65" i="6"/>
  <c r="O73" i="6"/>
  <c r="O68" i="6" s="1"/>
  <c r="I45" i="6"/>
  <c r="H45" i="6" s="1"/>
  <c r="Q74" i="6"/>
  <c r="L52" i="6"/>
  <c r="L50" i="6" s="1"/>
  <c r="F50" i="6" s="1"/>
  <c r="S37" i="6"/>
  <c r="AT52" i="6"/>
  <c r="AR53" i="6"/>
  <c r="L56" i="6"/>
  <c r="F56" i="6" s="1"/>
  <c r="G68" i="6"/>
  <c r="G65" i="6" s="1"/>
  <c r="G69" i="6"/>
  <c r="O36" i="6"/>
  <c r="S36" i="6"/>
  <c r="I44" i="6"/>
  <c r="I43" i="6" s="1"/>
  <c r="O39" i="6"/>
  <c r="G51" i="6"/>
  <c r="G50" i="6" s="1"/>
  <c r="P54" i="6" l="1"/>
  <c r="P53" i="6" s="1"/>
  <c r="T68" i="6"/>
  <c r="N73" i="6"/>
  <c r="H67" i="6"/>
  <c r="H70" i="6"/>
  <c r="H69" i="6" s="1"/>
  <c r="K69" i="6"/>
  <c r="Q36" i="6"/>
  <c r="O35" i="6"/>
  <c r="Q73" i="6"/>
  <c r="Q68" i="6" s="1"/>
  <c r="P74" i="6"/>
  <c r="P73" i="6" s="1"/>
  <c r="P68" i="6" s="1"/>
  <c r="H35" i="6"/>
  <c r="N50" i="6"/>
  <c r="T42" i="6"/>
  <c r="H73" i="6"/>
  <c r="H65" i="6"/>
  <c r="S35" i="6"/>
  <c r="P66" i="6"/>
  <c r="P65" i="6" s="1"/>
  <c r="Q65" i="6"/>
  <c r="Q35" i="6" l="1"/>
  <c r="P36" i="6"/>
  <c r="P35" i="6" s="1"/>
</calcChain>
</file>

<file path=xl/sharedStrings.xml><?xml version="1.0" encoding="utf-8"?>
<sst xmlns="http://schemas.openxmlformats.org/spreadsheetml/2006/main" count="209" uniqueCount="42">
  <si>
    <r>
      <rPr>
        <b/>
        <sz val="11"/>
        <color theme="1"/>
        <rFont val="Times New Roman"/>
        <family val="1"/>
        <charset val="186"/>
      </rPr>
      <t>Užsakovas:</t>
    </r>
    <r>
      <rPr>
        <sz val="11"/>
        <color theme="1"/>
        <rFont val="Times New Roman"/>
        <family val="1"/>
        <charset val="186"/>
      </rPr>
      <t xml:space="preserve"> Anykščių rajono savivaldybės administracija</t>
    </r>
  </si>
  <si>
    <t>Eil. Nr.</t>
  </si>
  <si>
    <t>Viso:</t>
  </si>
  <si>
    <t>Rangos sutarties Nr.</t>
  </si>
  <si>
    <t>Nuo metų pradžios</t>
  </si>
  <si>
    <t>Per ataskaitinį laikotarpį</t>
  </si>
  <si>
    <t>Darbų vertė</t>
  </si>
  <si>
    <t>PVM</t>
  </si>
  <si>
    <t>Iš viso</t>
  </si>
  <si>
    <t>1.</t>
  </si>
  <si>
    <t>1-SU-555 2020-10-28</t>
  </si>
  <si>
    <t>-</t>
  </si>
  <si>
    <t>1.1.</t>
  </si>
  <si>
    <t>1.2.</t>
  </si>
  <si>
    <t>F-3</t>
  </si>
  <si>
    <t xml:space="preserve">Atliktų darbų ir išlaidų apmokėjimo </t>
  </si>
  <si>
    <t>PAŽYMA Nr.12</t>
  </si>
  <si>
    <t>(eurai)</t>
  </si>
  <si>
    <t>Objekto pavadinimas</t>
  </si>
  <si>
    <t>Sutarties su     LAKD    Nr.</t>
  </si>
  <si>
    <t>Objekto kaina</t>
  </si>
  <si>
    <t>Atlikta darbų</t>
  </si>
  <si>
    <t>Nuo statybos pradžios</t>
  </si>
  <si>
    <t>S-349</t>
  </si>
  <si>
    <t>Techninis prižiūrėtojas: ........................................................</t>
  </si>
  <si>
    <t>Atestato Nr. ........................................</t>
  </si>
  <si>
    <t>Užsakovas: Anykščių rajono savivaldybės administracija</t>
  </si>
  <si>
    <t>Rangovas: UAB "Ecoservice projektai"</t>
  </si>
  <si>
    <t>A. V.</t>
  </si>
  <si>
    <t>...................................................</t>
  </si>
  <si>
    <t>2021 m. gruodžio mėn.        d.</t>
  </si>
  <si>
    <t>KPPP lėšos</t>
  </si>
  <si>
    <t>Savivaldybės biudžeto ir kt. lėšos</t>
  </si>
  <si>
    <t xml:space="preserve"> </t>
  </si>
  <si>
    <t xml:space="preserve">Rangovas: </t>
  </si>
  <si>
    <t>PAŽYMA Nr. ......</t>
  </si>
  <si>
    <t>S-</t>
  </si>
  <si>
    <t>Sutarties su     Via Lietuva   Nr.</t>
  </si>
  <si>
    <t xml:space="preserve">AB "Via Lietuva" kontroliuojantis asmuo:	</t>
  </si>
  <si>
    <t>Rangovas: ......................................</t>
  </si>
  <si>
    <t xml:space="preserve"> 202_ m. .............. mėn.</t>
  </si>
  <si>
    <r>
      <t xml:space="preserve">202_ m. </t>
    </r>
    <r>
      <rPr>
        <u/>
        <sz val="11"/>
        <color theme="1"/>
        <rFont val="Times New Roman"/>
        <family val="1"/>
        <charset val="186"/>
      </rPr>
      <t xml:space="preserve">                              </t>
    </r>
    <r>
      <rPr>
        <sz val="11"/>
        <color theme="1"/>
        <rFont val="Times New Roman"/>
        <family val="1"/>
        <charset val="186"/>
      </rPr>
      <t xml:space="preserve"> 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</si>
</sst>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2" fontId="1" fillId="0" borderId="6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wrapText="1"/>
    </xf>
    <xf numFmtId="2" fontId="2" fillId="0" borderId="5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2" fontId="3" fillId="0" borderId="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2" fontId="4" fillId="0" borderId="6" xfId="0" applyNumberFormat="1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B063-A4C9-4591-B593-B336AAB297C0}">
  <sheetPr>
    <pageSetUpPr fitToPage="1"/>
  </sheetPr>
  <dimension ref="A1:BL77"/>
  <sheetViews>
    <sheetView tabSelected="1" topLeftCell="A3" zoomScaleNormal="100" workbookViewId="0">
      <selection activeCell="G25" sqref="G25"/>
    </sheetView>
  </sheetViews>
  <sheetFormatPr defaultRowHeight="15" x14ac:dyDescent="0.25"/>
  <cols>
    <col min="1" max="1" width="4.7109375" customWidth="1"/>
    <col min="2" max="2" width="30.140625" customWidth="1"/>
    <col min="3" max="3" width="8.28515625" customWidth="1"/>
    <col min="4" max="4" width="10.5703125" customWidth="1"/>
    <col min="5" max="5" width="10.28515625" bestFit="1" customWidth="1"/>
    <col min="6" max="6" width="11.85546875" customWidth="1"/>
    <col min="7" max="7" width="10.140625" customWidth="1"/>
    <col min="8" max="8" width="9.85546875" bestFit="1" customWidth="1"/>
    <col min="9" max="9" width="10.7109375" bestFit="1" customWidth="1"/>
    <col min="10" max="11" width="9.7109375" bestFit="1" customWidth="1"/>
    <col min="12" max="12" width="13.140625" customWidth="1"/>
    <col min="14" max="14" width="11.140625" hidden="1" customWidth="1"/>
    <col min="15" max="15" width="11" hidden="1" customWidth="1"/>
    <col min="16" max="16" width="0" hidden="1" customWidth="1"/>
    <col min="17" max="17" width="11.28515625" hidden="1" customWidth="1"/>
    <col min="18" max="20" width="0" hidden="1" customWidth="1"/>
    <col min="21" max="21" width="2.7109375" hidden="1" customWidth="1"/>
    <col min="22" max="22" width="8.85546875" hidden="1" customWidth="1"/>
    <col min="23" max="24" width="0" hidden="1" customWidth="1"/>
    <col min="25" max="25" width="8.28515625" hidden="1" customWidth="1"/>
    <col min="26" max="27" width="8.85546875" hidden="1" customWidth="1"/>
    <col min="28" max="28" width="10.28515625" hidden="1" customWidth="1"/>
    <col min="29" max="29" width="8.85546875" hidden="1" customWidth="1"/>
    <col min="30" max="30" width="10.7109375" hidden="1" customWidth="1"/>
    <col min="31" max="31" width="10.5703125" hidden="1" customWidth="1"/>
    <col min="32" max="32" width="0" hidden="1" customWidth="1"/>
    <col min="33" max="33" width="13.7109375" hidden="1" customWidth="1"/>
    <col min="34" max="35" width="0" hidden="1" customWidth="1"/>
    <col min="36" max="36" width="11.28515625" hidden="1" customWidth="1"/>
    <col min="37" max="37" width="10.5703125" hidden="1" customWidth="1"/>
    <col min="38" max="38" width="0" hidden="1" customWidth="1"/>
    <col min="39" max="39" width="11" hidden="1" customWidth="1"/>
    <col min="40" max="42" width="0" hidden="1" customWidth="1"/>
    <col min="43" max="43" width="11.85546875" hidden="1" customWidth="1"/>
    <col min="44" max="44" width="10.140625" hidden="1" customWidth="1"/>
    <col min="45" max="45" width="9.7109375" hidden="1" customWidth="1"/>
    <col min="46" max="46" width="10.42578125" hidden="1" customWidth="1"/>
  </cols>
  <sheetData>
    <row r="1" spans="1:64" ht="5.4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AQ1" s="1"/>
      <c r="AR1" s="1"/>
      <c r="AS1" s="1"/>
      <c r="AT1" s="1"/>
    </row>
    <row r="2" spans="1:64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AQ2" s="1"/>
      <c r="AR2" s="1"/>
      <c r="AS2" s="1"/>
      <c r="AT2" s="1"/>
    </row>
    <row r="3" spans="1:64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29" t="s">
        <v>14</v>
      </c>
      <c r="AQ3" s="1"/>
      <c r="AR3" s="1"/>
      <c r="AS3" s="1"/>
      <c r="AT3" s="1"/>
    </row>
    <row r="4" spans="1:64" x14ac:dyDescent="0.25">
      <c r="A4" s="2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AQ4" s="1"/>
      <c r="AR4" s="1"/>
      <c r="AS4" s="1"/>
      <c r="AT4" s="1"/>
    </row>
    <row r="5" spans="1:6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AQ5" s="1"/>
      <c r="AR5" s="1"/>
      <c r="AS5" s="1"/>
      <c r="AT5" s="1"/>
    </row>
    <row r="6" spans="1:64" ht="13.9" customHeight="1" x14ac:dyDescent="0.25">
      <c r="A6" s="1"/>
      <c r="B6" s="1"/>
      <c r="C6" s="1"/>
      <c r="D6" s="1"/>
      <c r="E6" s="1"/>
      <c r="F6" s="2" t="s">
        <v>15</v>
      </c>
      <c r="G6" s="2"/>
      <c r="H6" s="2"/>
      <c r="I6" s="1"/>
      <c r="J6" s="1"/>
      <c r="K6" s="1"/>
      <c r="L6" s="1"/>
      <c r="AQ6" s="2" t="s">
        <v>15</v>
      </c>
      <c r="AR6" s="2"/>
      <c r="AS6" s="2"/>
      <c r="AT6" s="1"/>
    </row>
    <row r="7" spans="1:64" x14ac:dyDescent="0.25">
      <c r="A7" s="1"/>
      <c r="B7" s="1"/>
      <c r="C7" s="1"/>
      <c r="D7" s="1"/>
      <c r="E7" s="1"/>
      <c r="F7" s="75" t="s">
        <v>35</v>
      </c>
      <c r="G7" s="75"/>
      <c r="H7" s="75"/>
      <c r="I7" s="1"/>
      <c r="J7" s="1"/>
      <c r="K7" s="1"/>
      <c r="L7" s="1"/>
      <c r="AQ7" s="75" t="s">
        <v>16</v>
      </c>
      <c r="AR7" s="75"/>
      <c r="AS7" s="75"/>
      <c r="AT7" s="1"/>
    </row>
    <row r="8" spans="1:64" ht="12.6" customHeight="1" x14ac:dyDescent="0.25">
      <c r="A8" s="1"/>
      <c r="B8" s="1"/>
      <c r="C8" s="1"/>
      <c r="D8" s="1"/>
      <c r="E8" s="76" t="s">
        <v>40</v>
      </c>
      <c r="F8" s="76"/>
      <c r="G8" s="76"/>
      <c r="H8" s="76"/>
      <c r="I8" s="76"/>
      <c r="J8" s="1"/>
      <c r="K8" s="1"/>
      <c r="L8" s="1"/>
    </row>
    <row r="9" spans="1:64" ht="12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7">
        <f>L16</f>
        <v>0</v>
      </c>
      <c r="L9" s="6" t="s">
        <v>17</v>
      </c>
      <c r="AQ9" s="1"/>
      <c r="AR9" s="1"/>
      <c r="AS9" s="1"/>
      <c r="AT9" s="1"/>
    </row>
    <row r="10" spans="1:64" ht="11.45" customHeight="1" x14ac:dyDescent="0.25">
      <c r="A10" s="77" t="s">
        <v>1</v>
      </c>
      <c r="B10" s="78" t="s">
        <v>18</v>
      </c>
      <c r="C10" s="79" t="s">
        <v>37</v>
      </c>
      <c r="D10" s="82" t="s">
        <v>3</v>
      </c>
      <c r="E10" s="77" t="s">
        <v>20</v>
      </c>
      <c r="F10" s="78" t="s">
        <v>21</v>
      </c>
      <c r="G10" s="78"/>
      <c r="H10" s="78"/>
      <c r="I10" s="78"/>
      <c r="J10" s="78"/>
      <c r="K10" s="78"/>
      <c r="L10" s="78"/>
      <c r="W10" s="79" t="s">
        <v>1</v>
      </c>
      <c r="X10" s="86" t="s">
        <v>18</v>
      </c>
      <c r="Y10" s="87"/>
      <c r="Z10" s="79" t="s">
        <v>19</v>
      </c>
      <c r="AA10" s="82" t="s">
        <v>3</v>
      </c>
      <c r="AB10" s="77" t="s">
        <v>20</v>
      </c>
      <c r="AC10" s="77"/>
      <c r="AD10" s="78" t="s">
        <v>21</v>
      </c>
      <c r="AE10" s="78"/>
      <c r="AF10" s="78"/>
      <c r="AG10" s="78"/>
      <c r="AH10" s="78"/>
      <c r="AI10" s="78"/>
      <c r="AJ10" s="78" t="s">
        <v>21</v>
      </c>
      <c r="AK10" s="78"/>
      <c r="AL10" s="78"/>
      <c r="AM10" s="78"/>
      <c r="AN10" s="78"/>
      <c r="AO10" s="78"/>
      <c r="AP10" s="78"/>
      <c r="AQ10" s="78" t="s">
        <v>21</v>
      </c>
      <c r="AR10" s="78"/>
      <c r="AS10" s="78"/>
      <c r="AT10" s="85"/>
      <c r="BA10" s="74"/>
      <c r="BB10" s="73"/>
      <c r="BC10" s="74"/>
      <c r="BD10" s="74"/>
      <c r="BE10" s="74"/>
      <c r="BF10" s="73"/>
      <c r="BG10" s="73"/>
      <c r="BH10" s="73"/>
      <c r="BI10" s="73"/>
      <c r="BJ10" s="73"/>
      <c r="BK10" s="73"/>
      <c r="BL10" s="73"/>
    </row>
    <row r="11" spans="1:64" ht="30" customHeight="1" x14ac:dyDescent="0.25">
      <c r="A11" s="77"/>
      <c r="B11" s="78"/>
      <c r="C11" s="80"/>
      <c r="D11" s="83"/>
      <c r="E11" s="77"/>
      <c r="F11" s="77" t="s">
        <v>22</v>
      </c>
      <c r="G11" s="78" t="s">
        <v>4</v>
      </c>
      <c r="H11" s="78"/>
      <c r="I11" s="78"/>
      <c r="J11" s="78" t="s">
        <v>5</v>
      </c>
      <c r="K11" s="78"/>
      <c r="L11" s="78"/>
      <c r="N11" s="77" t="s">
        <v>22</v>
      </c>
      <c r="O11" s="78" t="s">
        <v>4</v>
      </c>
      <c r="P11" s="78"/>
      <c r="Q11" s="78"/>
      <c r="R11" s="78" t="s">
        <v>5</v>
      </c>
      <c r="S11" s="78"/>
      <c r="T11" s="78"/>
      <c r="W11" s="80"/>
      <c r="X11" s="88"/>
      <c r="Y11" s="89"/>
      <c r="Z11" s="80"/>
      <c r="AA11" s="83"/>
      <c r="AB11" s="77"/>
      <c r="AC11" s="77"/>
      <c r="AD11" s="77" t="s">
        <v>22</v>
      </c>
      <c r="AE11" s="78" t="s">
        <v>4</v>
      </c>
      <c r="AF11" s="78"/>
      <c r="AG11" s="78"/>
      <c r="AH11" s="78" t="s">
        <v>5</v>
      </c>
      <c r="AI11" s="78"/>
      <c r="AJ11" s="77" t="s">
        <v>22</v>
      </c>
      <c r="AK11" s="78" t="s">
        <v>4</v>
      </c>
      <c r="AL11" s="78"/>
      <c r="AM11" s="78"/>
      <c r="AN11" s="78" t="s">
        <v>5</v>
      </c>
      <c r="AO11" s="78"/>
      <c r="AP11" s="78"/>
      <c r="AQ11" s="77" t="s">
        <v>22</v>
      </c>
      <c r="AR11" s="78" t="s">
        <v>4</v>
      </c>
      <c r="AS11" s="78"/>
      <c r="AT11" s="85"/>
      <c r="BA11" s="74"/>
      <c r="BB11" s="73"/>
      <c r="BC11" s="74"/>
      <c r="BD11" s="74"/>
      <c r="BE11" s="74"/>
      <c r="BF11" s="74"/>
      <c r="BG11" s="73"/>
      <c r="BH11" s="73"/>
      <c r="BI11" s="73"/>
      <c r="BJ11" s="73"/>
      <c r="BK11" s="73"/>
      <c r="BL11" s="73"/>
    </row>
    <row r="12" spans="1:64" ht="33.75" customHeight="1" x14ac:dyDescent="0.25">
      <c r="A12" s="77"/>
      <c r="B12" s="78"/>
      <c r="C12" s="81"/>
      <c r="D12" s="84"/>
      <c r="E12" s="77"/>
      <c r="F12" s="79"/>
      <c r="G12" s="30" t="s">
        <v>6</v>
      </c>
      <c r="H12" s="31" t="s">
        <v>7</v>
      </c>
      <c r="I12" s="31" t="s">
        <v>8</v>
      </c>
      <c r="J12" s="30" t="s">
        <v>6</v>
      </c>
      <c r="K12" s="31" t="s">
        <v>7</v>
      </c>
      <c r="L12" s="31" t="s">
        <v>8</v>
      </c>
      <c r="N12" s="77"/>
      <c r="O12" s="9" t="s">
        <v>6</v>
      </c>
      <c r="P12" s="10" t="s">
        <v>7</v>
      </c>
      <c r="Q12" s="10" t="s">
        <v>8</v>
      </c>
      <c r="R12" s="9" t="s">
        <v>6</v>
      </c>
      <c r="S12" s="10" t="s">
        <v>7</v>
      </c>
      <c r="T12" s="10" t="s">
        <v>8</v>
      </c>
      <c r="W12" s="80"/>
      <c r="X12" s="88"/>
      <c r="Y12" s="89"/>
      <c r="Z12" s="81"/>
      <c r="AA12" s="84"/>
      <c r="AB12" s="77"/>
      <c r="AC12" s="77"/>
      <c r="AD12" s="79"/>
      <c r="AE12" s="30" t="s">
        <v>6</v>
      </c>
      <c r="AF12" s="31" t="s">
        <v>7</v>
      </c>
      <c r="AG12" s="31" t="s">
        <v>8</v>
      </c>
      <c r="AH12" s="30" t="s">
        <v>6</v>
      </c>
      <c r="AI12" s="31" t="s">
        <v>7</v>
      </c>
      <c r="AJ12" s="79"/>
      <c r="AK12" s="30" t="s">
        <v>6</v>
      </c>
      <c r="AL12" s="31" t="s">
        <v>7</v>
      </c>
      <c r="AM12" s="31" t="s">
        <v>8</v>
      </c>
      <c r="AN12" s="30" t="s">
        <v>6</v>
      </c>
      <c r="AO12" s="31" t="s">
        <v>7</v>
      </c>
      <c r="AP12" s="31" t="s">
        <v>8</v>
      </c>
      <c r="AQ12" s="79"/>
      <c r="AR12" s="30" t="s">
        <v>6</v>
      </c>
      <c r="AS12" s="31" t="s">
        <v>7</v>
      </c>
      <c r="AT12" s="68" t="s">
        <v>8</v>
      </c>
      <c r="BA12" s="74"/>
      <c r="BB12" s="73"/>
      <c r="BC12" s="74"/>
      <c r="BD12" s="74"/>
      <c r="BE12" s="74"/>
      <c r="BF12" s="74"/>
      <c r="BG12" s="65"/>
      <c r="BH12" s="60"/>
      <c r="BI12" s="60"/>
      <c r="BJ12" s="65"/>
      <c r="BK12" s="60"/>
      <c r="BL12" s="60"/>
    </row>
    <row r="13" spans="1:64" ht="74.25" customHeight="1" x14ac:dyDescent="0.25">
      <c r="A13" s="9" t="s">
        <v>9</v>
      </c>
      <c r="B13" s="9"/>
      <c r="C13" s="53"/>
      <c r="D13" s="62"/>
      <c r="E13" s="63"/>
      <c r="F13" s="4"/>
      <c r="G13" s="4"/>
      <c r="H13" s="4"/>
      <c r="I13" s="4"/>
      <c r="J13" s="4"/>
      <c r="K13" s="4"/>
      <c r="L13" s="4"/>
      <c r="N13" s="30"/>
      <c r="O13" s="30"/>
      <c r="P13" s="31"/>
      <c r="Q13" s="59"/>
      <c r="R13" s="30"/>
      <c r="S13" s="31"/>
      <c r="T13" s="59"/>
      <c r="W13" s="58"/>
      <c r="X13" s="60"/>
      <c r="Y13" s="57"/>
      <c r="Z13" s="55"/>
      <c r="AA13" s="58"/>
      <c r="AB13" s="30"/>
      <c r="AC13" s="61"/>
      <c r="AD13" s="30"/>
      <c r="AE13" s="30"/>
      <c r="AF13" s="31"/>
      <c r="AG13" s="31"/>
      <c r="AH13" s="30"/>
      <c r="AI13" s="31"/>
      <c r="AJ13" s="30"/>
      <c r="AK13" s="30"/>
      <c r="AL13" s="31"/>
      <c r="AM13" s="31"/>
      <c r="AN13" s="30"/>
      <c r="AO13" s="31"/>
      <c r="AP13" s="31"/>
      <c r="AQ13" s="30"/>
      <c r="AR13" s="30"/>
      <c r="AS13" s="31"/>
      <c r="AT13" s="68"/>
      <c r="BA13" s="65"/>
      <c r="BB13" s="65"/>
      <c r="BC13" s="5"/>
      <c r="BD13" s="5"/>
      <c r="BE13" s="69"/>
      <c r="BF13" s="70"/>
      <c r="BG13" s="70"/>
      <c r="BH13" s="70"/>
      <c r="BI13" s="70"/>
      <c r="BJ13" s="70"/>
      <c r="BK13" s="70"/>
      <c r="BL13" s="70"/>
    </row>
    <row r="14" spans="1:64" ht="19.5" customHeight="1" x14ac:dyDescent="0.25">
      <c r="A14" s="9"/>
      <c r="B14" s="66" t="s">
        <v>31</v>
      </c>
      <c r="C14" s="56" t="s">
        <v>36</v>
      </c>
      <c r="D14" s="62"/>
      <c r="E14" s="9"/>
      <c r="F14" s="4"/>
      <c r="G14" s="4"/>
      <c r="H14" s="4"/>
      <c r="I14" s="4"/>
      <c r="J14" s="4"/>
      <c r="K14" s="4"/>
      <c r="L14" s="4"/>
      <c r="N14" s="30"/>
      <c r="O14" s="30"/>
      <c r="P14" s="31"/>
      <c r="Q14" s="59"/>
      <c r="R14" s="30"/>
      <c r="S14" s="31"/>
      <c r="T14" s="59"/>
      <c r="W14" s="58"/>
      <c r="X14" s="60"/>
      <c r="Y14" s="57"/>
      <c r="Z14" s="55"/>
      <c r="AA14" s="58"/>
      <c r="AB14" s="30"/>
      <c r="AC14" s="61"/>
      <c r="AD14" s="30"/>
      <c r="AE14" s="30"/>
      <c r="AF14" s="31"/>
      <c r="AG14" s="31"/>
      <c r="AH14" s="30"/>
      <c r="AI14" s="31"/>
      <c r="AJ14" s="30"/>
      <c r="AK14" s="30"/>
      <c r="AL14" s="31"/>
      <c r="AM14" s="31"/>
      <c r="AN14" s="30"/>
      <c r="AO14" s="31"/>
      <c r="AP14" s="31"/>
      <c r="AQ14" s="30"/>
      <c r="AR14" s="30"/>
      <c r="AS14" s="31"/>
      <c r="AT14" s="68"/>
      <c r="BA14" s="65"/>
      <c r="BB14" s="71"/>
      <c r="BC14" s="65"/>
      <c r="BD14" s="5"/>
      <c r="BE14" s="65"/>
      <c r="BF14" s="70"/>
      <c r="BG14" s="70"/>
      <c r="BH14" s="70"/>
      <c r="BI14" s="70"/>
      <c r="BJ14" s="70"/>
      <c r="BK14" s="70"/>
      <c r="BL14" s="70"/>
    </row>
    <row r="15" spans="1:64" ht="19.5" customHeight="1" x14ac:dyDescent="0.25">
      <c r="A15" s="9"/>
      <c r="B15" s="66" t="s">
        <v>32</v>
      </c>
      <c r="C15" s="56"/>
      <c r="D15" s="62"/>
      <c r="E15" s="9"/>
      <c r="F15" s="4"/>
      <c r="G15" s="4"/>
      <c r="H15" s="4"/>
      <c r="I15" s="4"/>
      <c r="J15" s="4"/>
      <c r="K15" s="4"/>
      <c r="L15" s="4"/>
      <c r="N15" s="30"/>
      <c r="O15" s="30"/>
      <c r="P15" s="31"/>
      <c r="Q15" s="59"/>
      <c r="R15" s="30"/>
      <c r="S15" s="31"/>
      <c r="T15" s="59"/>
      <c r="W15" s="58"/>
      <c r="X15" s="60"/>
      <c r="Y15" s="57"/>
      <c r="Z15" s="55"/>
      <c r="AA15" s="58"/>
      <c r="AB15" s="30"/>
      <c r="AC15" s="61"/>
      <c r="AD15" s="30"/>
      <c r="AE15" s="30"/>
      <c r="AF15" s="31"/>
      <c r="AG15" s="31"/>
      <c r="AH15" s="30"/>
      <c r="AI15" s="31"/>
      <c r="AJ15" s="30"/>
      <c r="AK15" s="30"/>
      <c r="AL15" s="31"/>
      <c r="AM15" s="31"/>
      <c r="AN15" s="30"/>
      <c r="AO15" s="31"/>
      <c r="AP15" s="31"/>
      <c r="AQ15" s="30"/>
      <c r="AR15" s="30"/>
      <c r="AS15" s="31"/>
      <c r="AT15" s="68"/>
      <c r="AV15" s="64"/>
      <c r="BA15" s="65"/>
      <c r="BB15" s="71"/>
      <c r="BC15" s="65"/>
      <c r="BD15" s="5"/>
      <c r="BE15" s="65"/>
      <c r="BF15" s="70"/>
      <c r="BG15" s="70"/>
      <c r="BH15" s="70"/>
      <c r="BI15" s="70"/>
      <c r="BJ15" s="70"/>
      <c r="BK15" s="70"/>
      <c r="BL15" s="70"/>
    </row>
    <row r="16" spans="1:64" ht="19.5" customHeight="1" x14ac:dyDescent="0.25">
      <c r="A16" s="9"/>
      <c r="B16" s="66" t="s">
        <v>2</v>
      </c>
      <c r="C16" s="9"/>
      <c r="D16" s="3"/>
      <c r="E16" s="9"/>
      <c r="F16" s="4"/>
      <c r="G16" s="4"/>
      <c r="H16" s="4"/>
      <c r="I16" s="4"/>
      <c r="J16" s="67"/>
      <c r="K16" s="67"/>
      <c r="L16" s="67"/>
      <c r="N16" s="65"/>
      <c r="O16" s="65"/>
      <c r="P16" s="60"/>
      <c r="Q16" s="60"/>
      <c r="R16" s="65"/>
      <c r="S16" s="60"/>
      <c r="T16" s="60"/>
      <c r="W16" s="65"/>
      <c r="X16" s="60"/>
      <c r="Y16" s="60"/>
      <c r="Z16" s="65"/>
      <c r="AA16" s="65"/>
      <c r="AB16" s="65"/>
      <c r="AC16" s="65"/>
      <c r="AD16" s="65"/>
      <c r="AE16" s="65"/>
      <c r="AF16" s="60"/>
      <c r="AG16" s="60"/>
      <c r="AH16" s="65"/>
      <c r="AI16" s="60"/>
      <c r="AJ16" s="65"/>
      <c r="AK16" s="65"/>
      <c r="AL16" s="60"/>
      <c r="AM16" s="60"/>
      <c r="AN16" s="65"/>
      <c r="AO16" s="60"/>
      <c r="AP16" s="60"/>
      <c r="AQ16" s="65"/>
      <c r="AR16" s="65"/>
      <c r="AS16" s="60"/>
      <c r="AT16" s="60"/>
      <c r="AV16" s="64"/>
      <c r="BA16" s="65"/>
      <c r="BB16" s="71"/>
      <c r="BC16" s="65"/>
      <c r="BD16" s="5"/>
      <c r="BE16" s="65"/>
      <c r="BF16" s="70"/>
      <c r="BG16" s="70"/>
      <c r="BH16" s="70"/>
      <c r="BI16" s="70"/>
      <c r="BJ16" s="72"/>
      <c r="BK16" s="72"/>
      <c r="BL16" s="72"/>
    </row>
    <row r="17" spans="1:51" ht="22.9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AQ17" s="1"/>
      <c r="AR17" s="1"/>
      <c r="AS17" s="1"/>
      <c r="AT17" s="1"/>
      <c r="AU17" t="s">
        <v>33</v>
      </c>
      <c r="AY17" s="64"/>
    </row>
    <row r="18" spans="1:51" ht="22.9" customHeight="1" x14ac:dyDescent="0.25">
      <c r="A18" s="32" t="s">
        <v>24</v>
      </c>
      <c r="B18" s="32"/>
      <c r="C18" s="32"/>
      <c r="D18" s="32"/>
      <c r="E18" s="1"/>
      <c r="F18" s="1"/>
      <c r="G18" s="1"/>
      <c r="H18" s="1"/>
      <c r="I18" s="1"/>
      <c r="J18" s="1"/>
      <c r="K18" s="1"/>
      <c r="L18" s="1"/>
      <c r="AQ18" s="1"/>
      <c r="AR18" s="1"/>
      <c r="AS18" s="1"/>
      <c r="AT18" s="1"/>
      <c r="AY18" s="64"/>
    </row>
    <row r="19" spans="1:51" x14ac:dyDescent="0.25">
      <c r="A19" s="32" t="s">
        <v>25</v>
      </c>
      <c r="B19" s="32"/>
      <c r="C19" s="32"/>
      <c r="D19" s="32"/>
      <c r="E19" s="1"/>
      <c r="F19" s="1"/>
      <c r="G19" s="1"/>
      <c r="H19" s="1"/>
      <c r="I19" s="1"/>
      <c r="J19" s="1"/>
      <c r="K19" s="1"/>
      <c r="L19" s="1"/>
      <c r="AQ19" s="1"/>
      <c r="AR19" s="1"/>
      <c r="AS19" s="1"/>
      <c r="AT19" s="1"/>
    </row>
    <row r="20" spans="1:5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AQ20" s="1"/>
      <c r="AR20" s="1"/>
      <c r="AS20" s="1"/>
      <c r="AT20" s="1"/>
    </row>
    <row r="21" spans="1:51" ht="18" customHeight="1" x14ac:dyDescent="0.25">
      <c r="A21" s="1" t="s">
        <v>26</v>
      </c>
      <c r="B21" s="1"/>
      <c r="C21" s="1"/>
      <c r="D21" s="1"/>
      <c r="E21" s="1"/>
      <c r="F21" s="90" t="s">
        <v>34</v>
      </c>
      <c r="G21" s="90"/>
      <c r="H21" s="90"/>
      <c r="I21" s="90"/>
      <c r="J21" s="90"/>
      <c r="K21" s="90"/>
      <c r="L21" s="90"/>
      <c r="AQ21" s="1"/>
      <c r="AR21" s="1" t="s">
        <v>27</v>
      </c>
      <c r="AS21" s="1"/>
      <c r="AT21" s="1"/>
    </row>
    <row r="22" spans="1:51" ht="11.25" customHeight="1" x14ac:dyDescent="0.25">
      <c r="A22" s="1"/>
      <c r="B22" s="1"/>
      <c r="C22" s="1"/>
      <c r="D22" s="1"/>
      <c r="E22" s="1"/>
      <c r="F22" s="8"/>
      <c r="G22" s="8"/>
      <c r="H22" s="8"/>
      <c r="I22" s="8"/>
      <c r="J22" s="8"/>
      <c r="K22" s="8"/>
      <c r="L22" s="8"/>
      <c r="AQ22" s="1"/>
      <c r="AR22" s="1"/>
      <c r="AS22" s="1"/>
      <c r="AT22" s="1"/>
    </row>
    <row r="23" spans="1:51" ht="12" customHeight="1" x14ac:dyDescent="0.25">
      <c r="A23" s="1" t="s">
        <v>28</v>
      </c>
      <c r="B23" s="1"/>
      <c r="C23" s="1"/>
      <c r="D23" s="1"/>
      <c r="E23" s="1"/>
      <c r="F23" s="1"/>
      <c r="G23" s="1" t="s">
        <v>28</v>
      </c>
      <c r="H23" s="1" t="s">
        <v>29</v>
      </c>
      <c r="I23" s="1"/>
      <c r="J23" s="1"/>
      <c r="AQ23" s="1"/>
      <c r="AR23" s="1" t="s">
        <v>28</v>
      </c>
      <c r="AS23" s="1" t="s">
        <v>29</v>
      </c>
      <c r="AT23" s="1"/>
    </row>
    <row r="24" spans="1:51" ht="8.4499999999999993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AQ24" s="1"/>
      <c r="AR24" s="1"/>
      <c r="AS24" s="1"/>
      <c r="AT24" s="1"/>
    </row>
    <row r="25" spans="1:51" x14ac:dyDescent="0.25">
      <c r="A25" s="1" t="s">
        <v>41</v>
      </c>
      <c r="B25" s="1"/>
      <c r="C25" s="1"/>
      <c r="D25" s="1"/>
      <c r="E25" s="1"/>
      <c r="F25" s="1"/>
      <c r="G25" s="1" t="s">
        <v>41</v>
      </c>
      <c r="H25" s="1"/>
      <c r="I25" s="1"/>
      <c r="J25" s="1"/>
      <c r="AQ25" s="1"/>
      <c r="AR25" s="1" t="s">
        <v>30</v>
      </c>
      <c r="AS25" s="1"/>
      <c r="AT25" s="1"/>
    </row>
    <row r="26" spans="1:51" ht="8.4499999999999993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AQ26" s="1"/>
      <c r="AR26" s="1"/>
      <c r="AS26" s="1"/>
      <c r="AT26" s="1"/>
    </row>
    <row r="27" spans="1:51" x14ac:dyDescent="0.25">
      <c r="A27" s="32" t="s">
        <v>38</v>
      </c>
      <c r="B27" s="32"/>
      <c r="C27" s="1"/>
      <c r="D27" s="1"/>
      <c r="E27" s="1"/>
      <c r="F27" s="1"/>
      <c r="G27" s="1"/>
      <c r="H27" s="1"/>
      <c r="I27" s="1"/>
      <c r="J27" s="1"/>
      <c r="AQ27" s="1"/>
      <c r="AR27" s="1"/>
      <c r="AS27" s="1"/>
      <c r="AT27" s="1"/>
    </row>
    <row r="28" spans="1:51" ht="13.5" customHeight="1" x14ac:dyDescent="0.25">
      <c r="A28" s="32"/>
      <c r="B28" s="32"/>
      <c r="C28" s="1"/>
      <c r="D28" s="1"/>
      <c r="E28" s="1"/>
      <c r="F28" s="1"/>
      <c r="G28" s="1"/>
      <c r="H28" s="1"/>
      <c r="I28" s="1"/>
      <c r="J28" s="1"/>
      <c r="AQ28" s="1"/>
      <c r="AR28" s="1"/>
      <c r="AS28" s="1"/>
      <c r="AT28" s="1"/>
    </row>
    <row r="29" spans="1:51" ht="18.75" customHeight="1" x14ac:dyDescent="0.25">
      <c r="A29" s="1" t="s">
        <v>29</v>
      </c>
    </row>
    <row r="30" spans="1:51" x14ac:dyDescent="0.25">
      <c r="A30" s="1" t="s">
        <v>41</v>
      </c>
    </row>
    <row r="32" spans="1:51" ht="15" hidden="1" customHeight="1" x14ac:dyDescent="0.25">
      <c r="A32" s="79" t="s">
        <v>1</v>
      </c>
      <c r="B32" s="87"/>
      <c r="C32" s="79" t="s">
        <v>19</v>
      </c>
      <c r="D32" s="82" t="s">
        <v>3</v>
      </c>
      <c r="E32" s="77" t="s">
        <v>20</v>
      </c>
      <c r="F32" s="78" t="s">
        <v>21</v>
      </c>
      <c r="G32" s="78"/>
      <c r="H32" s="78"/>
      <c r="I32" s="78"/>
      <c r="J32" s="78"/>
      <c r="K32" s="78"/>
      <c r="L32" s="78"/>
      <c r="AQ32" s="78" t="s">
        <v>21</v>
      </c>
      <c r="AR32" s="78"/>
      <c r="AS32" s="78"/>
      <c r="AT32" s="78"/>
    </row>
    <row r="33" spans="1:46" ht="42" hidden="1" customHeight="1" x14ac:dyDescent="0.25">
      <c r="A33" s="80"/>
      <c r="B33" s="89"/>
      <c r="C33" s="80"/>
      <c r="D33" s="83"/>
      <c r="E33" s="77"/>
      <c r="F33" s="77" t="s">
        <v>22</v>
      </c>
      <c r="G33" s="78" t="s">
        <v>4</v>
      </c>
      <c r="H33" s="78"/>
      <c r="I33" s="78"/>
      <c r="J33" s="78" t="s">
        <v>5</v>
      </c>
      <c r="K33" s="78"/>
      <c r="L33" s="78"/>
      <c r="N33" s="77" t="s">
        <v>22</v>
      </c>
      <c r="O33" s="78" t="s">
        <v>4</v>
      </c>
      <c r="P33" s="78"/>
      <c r="Q33" s="78"/>
      <c r="R33" s="78" t="s">
        <v>5</v>
      </c>
      <c r="S33" s="78"/>
      <c r="T33" s="78"/>
      <c r="AQ33" s="77" t="s">
        <v>22</v>
      </c>
      <c r="AR33" s="78" t="s">
        <v>4</v>
      </c>
      <c r="AS33" s="78"/>
      <c r="AT33" s="78"/>
    </row>
    <row r="34" spans="1:46" ht="29.45" hidden="1" customHeight="1" x14ac:dyDescent="0.25">
      <c r="A34" s="80"/>
      <c r="B34" s="89"/>
      <c r="C34" s="81"/>
      <c r="D34" s="84"/>
      <c r="E34" s="77"/>
      <c r="F34" s="79"/>
      <c r="G34" s="30" t="s">
        <v>6</v>
      </c>
      <c r="H34" s="31" t="s">
        <v>7</v>
      </c>
      <c r="I34" s="31" t="s">
        <v>8</v>
      </c>
      <c r="J34" s="30" t="s">
        <v>6</v>
      </c>
      <c r="K34" s="31" t="s">
        <v>7</v>
      </c>
      <c r="L34" s="31" t="s">
        <v>8</v>
      </c>
      <c r="N34" s="77"/>
      <c r="O34" s="9" t="s">
        <v>6</v>
      </c>
      <c r="P34" s="10" t="s">
        <v>7</v>
      </c>
      <c r="Q34" s="10" t="s">
        <v>8</v>
      </c>
      <c r="R34" s="9" t="s">
        <v>6</v>
      </c>
      <c r="S34" s="10" t="s">
        <v>7</v>
      </c>
      <c r="T34" s="10" t="s">
        <v>8</v>
      </c>
      <c r="AQ34" s="79"/>
      <c r="AR34" s="30" t="s">
        <v>6</v>
      </c>
      <c r="AS34" s="31" t="s">
        <v>7</v>
      </c>
      <c r="AT34" s="31" t="s">
        <v>8</v>
      </c>
    </row>
    <row r="35" spans="1:46" ht="30.6" hidden="1" customHeight="1" x14ac:dyDescent="0.25">
      <c r="A35" s="11" t="s">
        <v>9</v>
      </c>
      <c r="B35" s="12"/>
      <c r="C35" s="92" t="s">
        <v>23</v>
      </c>
      <c r="D35" s="96" t="s">
        <v>10</v>
      </c>
      <c r="E35" s="99">
        <v>530000</v>
      </c>
      <c r="F35" s="13">
        <f>173354.67+L35</f>
        <v>192709.53960000002</v>
      </c>
      <c r="G35" s="13">
        <f>SUM(G36:G38)</f>
        <v>253857.34</v>
      </c>
      <c r="H35" s="13">
        <f t="shared" ref="H35:I35" si="0">SUM(H36:H38)</f>
        <v>28843.799599999998</v>
      </c>
      <c r="I35" s="13">
        <f t="shared" si="0"/>
        <v>166195.2096</v>
      </c>
      <c r="J35" s="13">
        <f>SUM(J36:J38)</f>
        <v>15995.76</v>
      </c>
      <c r="K35" s="13">
        <f t="shared" ref="K35:L35" si="1">SUM(K36:K38)</f>
        <v>3359.1095999999989</v>
      </c>
      <c r="L35" s="13">
        <f t="shared" si="1"/>
        <v>19354.869599999998</v>
      </c>
      <c r="N35" s="13">
        <f>90941.9+T35</f>
        <v>162987.46590000001</v>
      </c>
      <c r="O35" s="15">
        <f t="shared" ref="O35:T35" si="2">SUM(O36:O37)</f>
        <v>121293.65</v>
      </c>
      <c r="P35" s="13">
        <f t="shared" si="2"/>
        <v>25471.666499999992</v>
      </c>
      <c r="Q35" s="14">
        <f t="shared" si="2"/>
        <v>146765.31649999999</v>
      </c>
      <c r="R35" s="15">
        <f t="shared" si="2"/>
        <v>59541.79</v>
      </c>
      <c r="S35" s="13">
        <f t="shared" si="2"/>
        <v>12503.775900000001</v>
      </c>
      <c r="T35" s="14">
        <f t="shared" si="2"/>
        <v>72045.565900000001</v>
      </c>
      <c r="AQ35" s="13" t="e">
        <f>173354.67+#REF!</f>
        <v>#REF!</v>
      </c>
      <c r="AR35" s="13" t="e">
        <f>SUM(AR36:AR38)</f>
        <v>#REF!</v>
      </c>
      <c r="AS35" s="13" t="e">
        <f t="shared" ref="AS35:AT35" si="3">SUM(AS36:AS38)</f>
        <v>#REF!</v>
      </c>
      <c r="AT35" s="13" t="e">
        <f t="shared" si="3"/>
        <v>#REF!</v>
      </c>
    </row>
    <row r="36" spans="1:46" hidden="1" x14ac:dyDescent="0.25">
      <c r="A36" s="16" t="s">
        <v>11</v>
      </c>
      <c r="B36" s="17"/>
      <c r="C36" s="93"/>
      <c r="D36" s="97"/>
      <c r="E36" s="94"/>
      <c r="F36" s="33"/>
      <c r="G36" s="18">
        <f>G44+G40</f>
        <v>129799.58</v>
      </c>
      <c r="H36" s="18">
        <f>25471.67+K36</f>
        <v>25471.67</v>
      </c>
      <c r="I36" s="18">
        <f>146765.32+L36</f>
        <v>146765.32</v>
      </c>
      <c r="J36" s="18">
        <v>0</v>
      </c>
      <c r="K36" s="18">
        <f>L36-J36</f>
        <v>0</v>
      </c>
      <c r="L36" s="18">
        <f>J36*1.21</f>
        <v>0</v>
      </c>
      <c r="N36" s="33"/>
      <c r="O36" s="18">
        <f>O44+O40</f>
        <v>121293.65</v>
      </c>
      <c r="P36" s="18">
        <f>Q36-O36</f>
        <v>25471.666499999992</v>
      </c>
      <c r="Q36" s="18">
        <f>O36*1.21</f>
        <v>146765.31649999999</v>
      </c>
      <c r="R36" s="18">
        <f>R44+R40</f>
        <v>59541.79</v>
      </c>
      <c r="S36" s="18">
        <f>T36-R36</f>
        <v>12503.775900000001</v>
      </c>
      <c r="T36" s="18">
        <f>R36*1.21</f>
        <v>72045.565900000001</v>
      </c>
      <c r="AQ36" s="33"/>
      <c r="AR36" s="18" t="e">
        <f>AR44+AR40</f>
        <v>#REF!</v>
      </c>
      <c r="AS36" s="18" t="e">
        <f>25471.67+#REF!</f>
        <v>#REF!</v>
      </c>
      <c r="AT36" s="18" t="e">
        <f>146765.32+#REF!</f>
        <v>#REF!</v>
      </c>
    </row>
    <row r="37" spans="1:46" hidden="1" x14ac:dyDescent="0.25">
      <c r="A37" s="16" t="s">
        <v>11</v>
      </c>
      <c r="B37" s="34"/>
      <c r="C37" s="93"/>
      <c r="D37" s="97"/>
      <c r="E37" s="94"/>
      <c r="F37" s="33"/>
      <c r="G37" s="18">
        <f>G41+G45</f>
        <v>4052.76</v>
      </c>
      <c r="H37" s="18">
        <f>H41+H45</f>
        <v>851.07959999999957</v>
      </c>
      <c r="I37" s="18">
        <f>I41+I45</f>
        <v>4903.8395999999993</v>
      </c>
      <c r="J37" s="18">
        <f>408.51+J45</f>
        <v>3990.76</v>
      </c>
      <c r="K37" s="18">
        <f>L37-J37</f>
        <v>838.05959999999959</v>
      </c>
      <c r="L37" s="18">
        <f>J37*1.21</f>
        <v>4828.8195999999998</v>
      </c>
      <c r="N37" s="35"/>
      <c r="O37" s="21">
        <f t="shared" ref="O37:T37" si="4">O41+O45</f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  <c r="S37" s="21">
        <f t="shared" si="4"/>
        <v>0</v>
      </c>
      <c r="T37" s="21">
        <f t="shared" si="4"/>
        <v>0</v>
      </c>
      <c r="AQ37" s="33"/>
      <c r="AR37" s="18" t="e">
        <f>AR41+AR45</f>
        <v>#REF!</v>
      </c>
      <c r="AS37" s="18" t="e">
        <f>AS41+AS45</f>
        <v>#REF!</v>
      </c>
      <c r="AT37" s="18" t="e">
        <f>AT41+AT45</f>
        <v>#REF!</v>
      </c>
    </row>
    <row r="38" spans="1:46" hidden="1" x14ac:dyDescent="0.25">
      <c r="A38" s="16" t="s">
        <v>11</v>
      </c>
      <c r="B38" s="34"/>
      <c r="C38" s="93"/>
      <c r="D38" s="97"/>
      <c r="E38" s="94"/>
      <c r="F38" s="33"/>
      <c r="G38" s="21">
        <f>G42</f>
        <v>120005</v>
      </c>
      <c r="H38" s="21">
        <f>H42</f>
        <v>2521.0500000000002</v>
      </c>
      <c r="I38" s="21">
        <f>I42</f>
        <v>14526.05</v>
      </c>
      <c r="J38" s="21">
        <v>12005</v>
      </c>
      <c r="K38" s="18">
        <f>L38-J38</f>
        <v>2521.0499999999993</v>
      </c>
      <c r="L38" s="18">
        <f>J38*1.21</f>
        <v>14526.05</v>
      </c>
      <c r="N38" s="35"/>
      <c r="O38" s="21">
        <f t="shared" ref="O38:T38" si="5">O43+O46</f>
        <v>17943</v>
      </c>
      <c r="P38" s="21">
        <f t="shared" si="5"/>
        <v>3768.0299999999988</v>
      </c>
      <c r="Q38" s="21">
        <f t="shared" si="5"/>
        <v>21711.03</v>
      </c>
      <c r="R38" s="21">
        <f t="shared" si="5"/>
        <v>10881</v>
      </c>
      <c r="S38" s="21">
        <f t="shared" si="5"/>
        <v>2285.0100000000002</v>
      </c>
      <c r="T38" s="21">
        <f t="shared" si="5"/>
        <v>13166.01</v>
      </c>
      <c r="AQ38" s="33"/>
      <c r="AR38" s="21">
        <f>AR42</f>
        <v>120005</v>
      </c>
      <c r="AS38" s="21">
        <f>AS42</f>
        <v>2521.0500000000002</v>
      </c>
      <c r="AT38" s="21" t="e">
        <f>AT42</f>
        <v>#REF!</v>
      </c>
    </row>
    <row r="39" spans="1:46" ht="21.6" hidden="1" customHeight="1" x14ac:dyDescent="0.25">
      <c r="A39" s="11" t="s">
        <v>12</v>
      </c>
      <c r="B39" s="12"/>
      <c r="C39" s="93"/>
      <c r="D39" s="97"/>
      <c r="E39" s="94"/>
      <c r="F39" s="13">
        <f>L39+135261.24</f>
        <v>150281.5871</v>
      </c>
      <c r="G39" s="22">
        <f>SUM(G40:G42)</f>
        <v>231565.09</v>
      </c>
      <c r="H39" s="22">
        <f t="shared" ref="H39:I39" si="6">SUM(H40:H42)</f>
        <v>25948.677100000001</v>
      </c>
      <c r="I39" s="22">
        <f t="shared" si="6"/>
        <v>149513.7671</v>
      </c>
      <c r="J39" s="22">
        <f>SUM(J40:J42)</f>
        <v>12413.51</v>
      </c>
      <c r="K39" s="22">
        <f>SUM(K40:K42)</f>
        <v>2606.8370999999993</v>
      </c>
      <c r="L39" s="22">
        <f>SUM(L40:L42)</f>
        <v>15020.347099999999</v>
      </c>
      <c r="N39" s="13">
        <f>T39+66942.55</f>
        <v>125822.1059</v>
      </c>
      <c r="O39" s="22">
        <f t="shared" ref="O39:Q39" si="7">SUM(O40:O41)</f>
        <v>103350.65</v>
      </c>
      <c r="P39" s="22">
        <f t="shared" si="7"/>
        <v>21703.636499999993</v>
      </c>
      <c r="Q39" s="22">
        <f t="shared" si="7"/>
        <v>125054.28649999999</v>
      </c>
      <c r="R39" s="22">
        <f t="shared" ref="R39:T39" si="8">SUM(R40:R41)</f>
        <v>48660.79</v>
      </c>
      <c r="S39" s="22">
        <f t="shared" si="8"/>
        <v>10218.765899999999</v>
      </c>
      <c r="T39" s="22">
        <f t="shared" si="8"/>
        <v>58879.555899999999</v>
      </c>
      <c r="AQ39" s="13" t="e">
        <f>#REF!+135261.24</f>
        <v>#REF!</v>
      </c>
      <c r="AR39" s="22" t="e">
        <f>SUM(AR40:AR42)</f>
        <v>#REF!</v>
      </c>
      <c r="AS39" s="22" t="e">
        <f t="shared" ref="AS39:AT39" si="9">SUM(AS40:AS42)</f>
        <v>#REF!</v>
      </c>
      <c r="AT39" s="22" t="e">
        <f t="shared" si="9"/>
        <v>#REF!</v>
      </c>
    </row>
    <row r="40" spans="1:46" hidden="1" x14ac:dyDescent="0.25">
      <c r="A40" s="16" t="s">
        <v>11</v>
      </c>
      <c r="B40" s="17"/>
      <c r="C40" s="93"/>
      <c r="D40" s="97"/>
      <c r="E40" s="94"/>
      <c r="F40" s="26"/>
      <c r="G40" s="18">
        <f>111151.58+J40</f>
        <v>111151.58</v>
      </c>
      <c r="H40" s="18">
        <f>23341.84+K40</f>
        <v>23341.84</v>
      </c>
      <c r="I40" s="18">
        <f>134493.42+L40</f>
        <v>134493.42000000001</v>
      </c>
      <c r="J40" s="18">
        <v>0</v>
      </c>
      <c r="K40" s="18">
        <f>L40-J40</f>
        <v>0</v>
      </c>
      <c r="L40" s="18">
        <f>J40*1.21</f>
        <v>0</v>
      </c>
      <c r="N40" s="26"/>
      <c r="O40" s="18">
        <f>54689.86+R40</f>
        <v>103350.65</v>
      </c>
      <c r="P40" s="18">
        <f>Q40-O40</f>
        <v>21703.636499999993</v>
      </c>
      <c r="Q40" s="18">
        <f>O40*1.21</f>
        <v>125054.28649999999</v>
      </c>
      <c r="R40" s="23">
        <v>48660.79</v>
      </c>
      <c r="S40" s="18">
        <f>T40-R40</f>
        <v>10218.765899999999</v>
      </c>
      <c r="T40" s="18">
        <f>R40*1.21</f>
        <v>58879.555899999999</v>
      </c>
      <c r="AQ40" s="26"/>
      <c r="AR40" s="18" t="e">
        <f>111151.58+#REF!</f>
        <v>#REF!</v>
      </c>
      <c r="AS40" s="18" t="e">
        <f>23341.84+#REF!</f>
        <v>#REF!</v>
      </c>
      <c r="AT40" s="18" t="e">
        <f>134493.42+#REF!</f>
        <v>#REF!</v>
      </c>
    </row>
    <row r="41" spans="1:46" hidden="1" x14ac:dyDescent="0.25">
      <c r="A41" s="16" t="s">
        <v>11</v>
      </c>
      <c r="B41" s="34"/>
      <c r="C41" s="93"/>
      <c r="D41" s="97"/>
      <c r="E41" s="94"/>
      <c r="F41" s="36"/>
      <c r="G41" s="18">
        <v>408.51</v>
      </c>
      <c r="H41" s="18">
        <f>I41-G41</f>
        <v>85.787100000000009</v>
      </c>
      <c r="I41" s="18">
        <f>G41*1.21</f>
        <v>494.2971</v>
      </c>
      <c r="J41" s="18">
        <v>408.51</v>
      </c>
      <c r="K41" s="18">
        <f>L41-J41</f>
        <v>85.787100000000009</v>
      </c>
      <c r="L41" s="18">
        <f>J41*1.21</f>
        <v>494.2971</v>
      </c>
      <c r="N41" s="37"/>
      <c r="O41" s="21">
        <v>0</v>
      </c>
      <c r="P41" s="18">
        <f>Q41-O41</f>
        <v>0</v>
      </c>
      <c r="Q41" s="18">
        <f>O41*1.21</f>
        <v>0</v>
      </c>
      <c r="R41" s="21">
        <v>0</v>
      </c>
      <c r="S41" s="18">
        <f>T41-R41</f>
        <v>0</v>
      </c>
      <c r="T41" s="18">
        <f>R41*1.21</f>
        <v>0</v>
      </c>
      <c r="AQ41" s="36"/>
      <c r="AR41" s="18">
        <v>408.51</v>
      </c>
      <c r="AS41" s="18">
        <f>AT41-AR41</f>
        <v>85.787100000000009</v>
      </c>
      <c r="AT41" s="18">
        <f>AR41*1.21</f>
        <v>494.2971</v>
      </c>
    </row>
    <row r="42" spans="1:46" hidden="1" x14ac:dyDescent="0.25">
      <c r="A42" s="19" t="s">
        <v>11</v>
      </c>
      <c r="B42" s="20"/>
      <c r="C42" s="93"/>
      <c r="D42" s="97"/>
      <c r="E42" s="94"/>
      <c r="F42" s="35"/>
      <c r="G42" s="21">
        <v>120005</v>
      </c>
      <c r="H42" s="21">
        <v>2521.0500000000002</v>
      </c>
      <c r="I42" s="21">
        <f>L42</f>
        <v>14526.05</v>
      </c>
      <c r="J42" s="21">
        <v>12005</v>
      </c>
      <c r="K42" s="21">
        <f>L42-J42</f>
        <v>2521.0499999999993</v>
      </c>
      <c r="L42" s="21">
        <f>J42*1.21</f>
        <v>14526.05</v>
      </c>
      <c r="N42" s="35"/>
      <c r="O42" s="21">
        <f t="shared" ref="O42:T42" si="10">O47+O50</f>
        <v>121293.65</v>
      </c>
      <c r="P42" s="21">
        <f t="shared" si="10"/>
        <v>25471.666499999992</v>
      </c>
      <c r="Q42" s="21">
        <f t="shared" si="10"/>
        <v>146765.31649999999</v>
      </c>
      <c r="R42" s="21">
        <f t="shared" si="10"/>
        <v>59541.79</v>
      </c>
      <c r="S42" s="21">
        <f t="shared" si="10"/>
        <v>12503.775900000001</v>
      </c>
      <c r="T42" s="21">
        <f t="shared" si="10"/>
        <v>72045.565900000001</v>
      </c>
      <c r="AQ42" s="35"/>
      <c r="AR42" s="21">
        <v>120005</v>
      </c>
      <c r="AS42" s="21">
        <v>2521.0500000000002</v>
      </c>
      <c r="AT42" s="21" t="e">
        <f>#REF!</f>
        <v>#REF!</v>
      </c>
    </row>
    <row r="43" spans="1:46" ht="16.899999999999999" hidden="1" customHeight="1" x14ac:dyDescent="0.25">
      <c r="A43" s="38" t="s">
        <v>13</v>
      </c>
      <c r="B43" s="39"/>
      <c r="C43" s="94"/>
      <c r="D43" s="97"/>
      <c r="E43" s="94"/>
      <c r="F43" s="40">
        <f>38093.43+L43</f>
        <v>42427.952499999999</v>
      </c>
      <c r="G43" s="41">
        <f>SUM(G44:G45)</f>
        <v>22292.25</v>
      </c>
      <c r="H43" s="40">
        <f t="shared" ref="H43:I43" si="11">SUM(H44:H45)</f>
        <v>4681.3724999999995</v>
      </c>
      <c r="I43" s="40">
        <f t="shared" si="11"/>
        <v>26973.622500000001</v>
      </c>
      <c r="J43" s="42">
        <f>SUM(J44:J45)</f>
        <v>3582.25</v>
      </c>
      <c r="K43" s="43">
        <f t="shared" ref="K43:L43" si="12">SUM(K44:K45)</f>
        <v>752.27250000000004</v>
      </c>
      <c r="L43" s="43">
        <f t="shared" si="12"/>
        <v>4334.5225</v>
      </c>
      <c r="N43" s="13">
        <f>23999.35+T43</f>
        <v>37165.360000000001</v>
      </c>
      <c r="O43" s="24">
        <f>SUM(O44:O45)</f>
        <v>17943</v>
      </c>
      <c r="P43" s="13">
        <f t="shared" ref="P43:Q43" si="13">SUM(P44:P45)</f>
        <v>3768.0299999999988</v>
      </c>
      <c r="Q43" s="13">
        <f t="shared" si="13"/>
        <v>21711.03</v>
      </c>
      <c r="R43" s="24">
        <f>SUM(R44:R45)</f>
        <v>10881</v>
      </c>
      <c r="S43" s="13">
        <f t="shared" ref="S43:T43" si="14">SUM(S44:S45)</f>
        <v>2285.0100000000002</v>
      </c>
      <c r="T43" s="13">
        <f t="shared" si="14"/>
        <v>13166.01</v>
      </c>
      <c r="AQ43" s="40" t="e">
        <f>38093.43+#REF!</f>
        <v>#REF!</v>
      </c>
      <c r="AR43" s="41" t="e">
        <f>SUM(AR44:AR45)</f>
        <v>#REF!</v>
      </c>
      <c r="AS43" s="40" t="e">
        <f t="shared" ref="AS43:AT43" si="15">SUM(AS44:AS45)</f>
        <v>#REF!</v>
      </c>
      <c r="AT43" s="40" t="e">
        <f t="shared" si="15"/>
        <v>#REF!</v>
      </c>
    </row>
    <row r="44" spans="1:46" hidden="1" x14ac:dyDescent="0.25">
      <c r="A44" s="16" t="s">
        <v>11</v>
      </c>
      <c r="B44" s="44"/>
      <c r="C44" s="94"/>
      <c r="D44" s="97"/>
      <c r="E44" s="94"/>
      <c r="F44" s="33"/>
      <c r="G44" s="25">
        <f>18648+J44</f>
        <v>18648</v>
      </c>
      <c r="H44" s="26">
        <f>3916.08+K44</f>
        <v>3916.08</v>
      </c>
      <c r="I44" s="26">
        <f>22564.08+L44</f>
        <v>22564.080000000002</v>
      </c>
      <c r="J44" s="45">
        <v>0</v>
      </c>
      <c r="K44" s="18">
        <f t="shared" ref="K44:K45" si="16">L44-J44</f>
        <v>0</v>
      </c>
      <c r="L44" s="18">
        <f t="shared" ref="L44:L45" si="17">J44*1.21</f>
        <v>0</v>
      </c>
      <c r="N44" s="33"/>
      <c r="O44" s="25">
        <f>7062+R44</f>
        <v>17943</v>
      </c>
      <c r="P44" s="26">
        <f t="shared" ref="P44:P45" si="18">Q44-O44</f>
        <v>3768.0299999999988</v>
      </c>
      <c r="Q44" s="26">
        <f t="shared" ref="Q44:Q45" si="19">O44*1.21</f>
        <v>21711.03</v>
      </c>
      <c r="R44" s="25">
        <v>10881</v>
      </c>
      <c r="S44" s="26">
        <f t="shared" ref="S44:S45" si="20">T44-R44</f>
        <v>2285.0100000000002</v>
      </c>
      <c r="T44" s="26">
        <f t="shared" ref="T44:T45" si="21">R44*1.21</f>
        <v>13166.01</v>
      </c>
      <c r="AQ44" s="33"/>
      <c r="AR44" s="25" t="e">
        <f>18648+#REF!</f>
        <v>#REF!</v>
      </c>
      <c r="AS44" s="26" t="e">
        <f>3916.08+#REF!</f>
        <v>#REF!</v>
      </c>
      <c r="AT44" s="26" t="e">
        <f>22564.08+#REF!</f>
        <v>#REF!</v>
      </c>
    </row>
    <row r="45" spans="1:46" hidden="1" x14ac:dyDescent="0.25">
      <c r="A45" s="19" t="s">
        <v>11</v>
      </c>
      <c r="B45" s="46"/>
      <c r="C45" s="95"/>
      <c r="D45" s="98"/>
      <c r="E45" s="95"/>
      <c r="F45" s="35"/>
      <c r="G45" s="27">
        <f>62+J45</f>
        <v>3644.25</v>
      </c>
      <c r="H45" s="28">
        <f t="shared" ref="H45" si="22">I45-G45</f>
        <v>765.29249999999956</v>
      </c>
      <c r="I45" s="28">
        <f t="shared" ref="I45" si="23">G45*1.21</f>
        <v>4409.5424999999996</v>
      </c>
      <c r="J45" s="47">
        <v>3582.25</v>
      </c>
      <c r="K45" s="21">
        <f t="shared" si="16"/>
        <v>752.27250000000004</v>
      </c>
      <c r="L45" s="21">
        <f t="shared" si="17"/>
        <v>4334.5225</v>
      </c>
      <c r="N45" s="35"/>
      <c r="O45" s="27">
        <v>0</v>
      </c>
      <c r="P45" s="28">
        <f t="shared" si="18"/>
        <v>0</v>
      </c>
      <c r="Q45" s="28">
        <f t="shared" si="19"/>
        <v>0</v>
      </c>
      <c r="R45" s="27">
        <v>0</v>
      </c>
      <c r="S45" s="28">
        <f t="shared" si="20"/>
        <v>0</v>
      </c>
      <c r="T45" s="28">
        <f t="shared" si="21"/>
        <v>0</v>
      </c>
      <c r="AQ45" s="35"/>
      <c r="AR45" s="27" t="e">
        <f>62+#REF!</f>
        <v>#REF!</v>
      </c>
      <c r="AS45" s="28" t="e">
        <f t="shared" ref="AS45" si="24">AT45-AR45</f>
        <v>#REF!</v>
      </c>
      <c r="AT45" s="28" t="e">
        <f t="shared" ref="AT45" si="25">AR45*1.21</f>
        <v>#REF!</v>
      </c>
    </row>
    <row r="46" spans="1:46" ht="16.899999999999999" customHeight="1" x14ac:dyDescent="0.25"/>
    <row r="47" spans="1:46" ht="15" hidden="1" customHeight="1" x14ac:dyDescent="0.25">
      <c r="A47" s="79" t="s">
        <v>1</v>
      </c>
      <c r="B47" s="87"/>
      <c r="C47" s="79" t="s">
        <v>19</v>
      </c>
      <c r="D47" s="82" t="s">
        <v>3</v>
      </c>
      <c r="E47" s="77" t="s">
        <v>20</v>
      </c>
      <c r="F47" s="78" t="s">
        <v>21</v>
      </c>
      <c r="G47" s="78"/>
      <c r="H47" s="78"/>
      <c r="I47" s="78"/>
      <c r="J47" s="78"/>
      <c r="K47" s="78"/>
      <c r="L47" s="78"/>
      <c r="AQ47" s="78" t="s">
        <v>21</v>
      </c>
      <c r="AR47" s="78"/>
      <c r="AS47" s="78"/>
      <c r="AT47" s="78"/>
    </row>
    <row r="48" spans="1:46" ht="42" hidden="1" customHeight="1" x14ac:dyDescent="0.25">
      <c r="A48" s="80"/>
      <c r="B48" s="89"/>
      <c r="C48" s="80"/>
      <c r="D48" s="83"/>
      <c r="E48" s="77"/>
      <c r="F48" s="77" t="s">
        <v>22</v>
      </c>
      <c r="G48" s="78" t="s">
        <v>4</v>
      </c>
      <c r="H48" s="78"/>
      <c r="I48" s="78"/>
      <c r="J48" s="78" t="s">
        <v>5</v>
      </c>
      <c r="K48" s="78"/>
      <c r="L48" s="78"/>
      <c r="N48" s="77" t="s">
        <v>22</v>
      </c>
      <c r="O48" s="78" t="s">
        <v>4</v>
      </c>
      <c r="P48" s="78"/>
      <c r="Q48" s="78"/>
      <c r="R48" s="78" t="s">
        <v>5</v>
      </c>
      <c r="S48" s="78"/>
      <c r="T48" s="78"/>
      <c r="AQ48" s="77" t="s">
        <v>22</v>
      </c>
      <c r="AR48" s="78" t="s">
        <v>4</v>
      </c>
      <c r="AS48" s="78"/>
      <c r="AT48" s="78"/>
    </row>
    <row r="49" spans="1:46" ht="30" hidden="1" x14ac:dyDescent="0.25">
      <c r="A49" s="81"/>
      <c r="B49" s="91"/>
      <c r="C49" s="81"/>
      <c r="D49" s="84"/>
      <c r="E49" s="77"/>
      <c r="F49" s="77"/>
      <c r="G49" s="9" t="s">
        <v>6</v>
      </c>
      <c r="H49" s="10" t="s">
        <v>7</v>
      </c>
      <c r="I49" s="10" t="s">
        <v>8</v>
      </c>
      <c r="J49" s="9" t="s">
        <v>6</v>
      </c>
      <c r="K49" s="10" t="s">
        <v>7</v>
      </c>
      <c r="L49" s="10" t="s">
        <v>8</v>
      </c>
      <c r="N49" s="77"/>
      <c r="O49" s="9" t="s">
        <v>6</v>
      </c>
      <c r="P49" s="10" t="s">
        <v>7</v>
      </c>
      <c r="Q49" s="10" t="s">
        <v>8</v>
      </c>
      <c r="R49" s="9" t="s">
        <v>6</v>
      </c>
      <c r="S49" s="10" t="s">
        <v>7</v>
      </c>
      <c r="T49" s="10" t="s">
        <v>8</v>
      </c>
      <c r="AQ49" s="77"/>
      <c r="AR49" s="9" t="s">
        <v>6</v>
      </c>
      <c r="AS49" s="10" t="s">
        <v>7</v>
      </c>
      <c r="AT49" s="10" t="s">
        <v>8</v>
      </c>
    </row>
    <row r="50" spans="1:46" ht="30.6" hidden="1" customHeight="1" x14ac:dyDescent="0.25">
      <c r="A50" s="11" t="s">
        <v>9</v>
      </c>
      <c r="B50" s="48"/>
      <c r="C50" s="100"/>
      <c r="D50" s="96" t="s">
        <v>10</v>
      </c>
      <c r="E50" s="99">
        <v>530000</v>
      </c>
      <c r="F50" s="13">
        <f>162987.47+L50</f>
        <v>173354.66529999999</v>
      </c>
      <c r="G50" s="13">
        <f>SUM(G51:G52)</f>
        <v>129861.57999999999</v>
      </c>
      <c r="H50" s="13">
        <f t="shared" ref="H50:L50" si="26">SUM(H51:H52)</f>
        <v>27270.935300000001</v>
      </c>
      <c r="I50" s="14">
        <f t="shared" si="26"/>
        <v>157132.5153</v>
      </c>
      <c r="J50" s="15">
        <f t="shared" si="26"/>
        <v>8567.93</v>
      </c>
      <c r="K50" s="13">
        <f t="shared" si="26"/>
        <v>1799.2653000000005</v>
      </c>
      <c r="L50" s="14">
        <f t="shared" si="26"/>
        <v>10367.195300000001</v>
      </c>
      <c r="N50" s="13">
        <f>90941.9+T50</f>
        <v>162987.46590000001</v>
      </c>
      <c r="O50" s="15">
        <f t="shared" ref="O50:T50" si="27">SUM(O51:O52)</f>
        <v>121293.65</v>
      </c>
      <c r="P50" s="13">
        <f t="shared" si="27"/>
        <v>25471.666499999992</v>
      </c>
      <c r="Q50" s="14">
        <f t="shared" si="27"/>
        <v>146765.31649999999</v>
      </c>
      <c r="R50" s="15">
        <f t="shared" si="27"/>
        <v>59541.79</v>
      </c>
      <c r="S50" s="13">
        <f t="shared" si="27"/>
        <v>12503.775900000001</v>
      </c>
      <c r="T50" s="14">
        <f t="shared" si="27"/>
        <v>72045.565900000001</v>
      </c>
      <c r="AQ50" s="13" t="e">
        <f>162987.47+#REF!</f>
        <v>#REF!</v>
      </c>
      <c r="AR50" s="13" t="e">
        <f>SUM(AR51:AR52)</f>
        <v>#REF!</v>
      </c>
      <c r="AS50" s="13" t="e">
        <f t="shared" ref="AS50:AT50" si="28">SUM(AS51:AS52)</f>
        <v>#REF!</v>
      </c>
      <c r="AT50" s="14" t="e">
        <f t="shared" si="28"/>
        <v>#REF!</v>
      </c>
    </row>
    <row r="51" spans="1:46" hidden="1" x14ac:dyDescent="0.25">
      <c r="A51" s="16" t="s">
        <v>11</v>
      </c>
      <c r="B51" s="44"/>
      <c r="C51" s="94"/>
      <c r="D51" s="97"/>
      <c r="E51" s="94"/>
      <c r="F51" s="33"/>
      <c r="G51" s="18">
        <f>G57+G54</f>
        <v>129799.57999999999</v>
      </c>
      <c r="H51" s="18">
        <f>25471.67+K51</f>
        <v>27257.915300000001</v>
      </c>
      <c r="I51" s="18">
        <f>146765.32+L51</f>
        <v>157057.49530000001</v>
      </c>
      <c r="J51" s="18">
        <f>J57+J54</f>
        <v>8505.93</v>
      </c>
      <c r="K51" s="18">
        <f>L51-J51</f>
        <v>1786.2453000000005</v>
      </c>
      <c r="L51" s="18">
        <f>J51*1.21</f>
        <v>10292.175300000001</v>
      </c>
      <c r="N51" s="33"/>
      <c r="O51" s="18">
        <f>O57+O54</f>
        <v>121293.65</v>
      </c>
      <c r="P51" s="18">
        <f>Q51-O51</f>
        <v>25471.666499999992</v>
      </c>
      <c r="Q51" s="18">
        <f>O51*1.21</f>
        <v>146765.31649999999</v>
      </c>
      <c r="R51" s="18">
        <f>R57+R54</f>
        <v>59541.79</v>
      </c>
      <c r="S51" s="18">
        <f>T51-R51</f>
        <v>12503.775900000001</v>
      </c>
      <c r="T51" s="18">
        <f>R51*1.21</f>
        <v>72045.565900000001</v>
      </c>
      <c r="AQ51" s="33"/>
      <c r="AR51" s="18" t="e">
        <f>AR57+AR54</f>
        <v>#REF!</v>
      </c>
      <c r="AS51" s="18" t="e">
        <f>25471.67+#REF!</f>
        <v>#REF!</v>
      </c>
      <c r="AT51" s="18" t="e">
        <f>146765.32+#REF!</f>
        <v>#REF!</v>
      </c>
    </row>
    <row r="52" spans="1:46" hidden="1" x14ac:dyDescent="0.25">
      <c r="A52" s="19" t="s">
        <v>11</v>
      </c>
      <c r="B52" s="46"/>
      <c r="C52" s="94"/>
      <c r="D52" s="97"/>
      <c r="E52" s="94"/>
      <c r="F52" s="35"/>
      <c r="G52" s="21">
        <f t="shared" ref="G52:L52" si="29">G55+G58</f>
        <v>62</v>
      </c>
      <c r="H52" s="21">
        <f t="shared" si="29"/>
        <v>13.019999999999996</v>
      </c>
      <c r="I52" s="21">
        <f t="shared" si="29"/>
        <v>75.02</v>
      </c>
      <c r="J52" s="21">
        <f t="shared" si="29"/>
        <v>62</v>
      </c>
      <c r="K52" s="21">
        <f t="shared" si="29"/>
        <v>13.019999999999996</v>
      </c>
      <c r="L52" s="21">
        <f t="shared" si="29"/>
        <v>75.02</v>
      </c>
      <c r="N52" s="35"/>
      <c r="O52" s="21">
        <f t="shared" ref="O52:T52" si="30">O55+O58</f>
        <v>0</v>
      </c>
      <c r="P52" s="21">
        <f t="shared" si="30"/>
        <v>0</v>
      </c>
      <c r="Q52" s="21">
        <f t="shared" si="30"/>
        <v>0</v>
      </c>
      <c r="R52" s="21">
        <f t="shared" si="30"/>
        <v>0</v>
      </c>
      <c r="S52" s="21">
        <f t="shared" si="30"/>
        <v>0</v>
      </c>
      <c r="T52" s="21">
        <f t="shared" si="30"/>
        <v>0</v>
      </c>
      <c r="AQ52" s="35"/>
      <c r="AR52" s="21">
        <f t="shared" ref="AR52:AT52" si="31">AR55+AR58</f>
        <v>62</v>
      </c>
      <c r="AS52" s="21">
        <f t="shared" si="31"/>
        <v>13.019999999999996</v>
      </c>
      <c r="AT52" s="21">
        <f t="shared" si="31"/>
        <v>75.02</v>
      </c>
    </row>
    <row r="53" spans="1:46" ht="21.6" hidden="1" customHeight="1" x14ac:dyDescent="0.25">
      <c r="A53" s="11" t="s">
        <v>12</v>
      </c>
      <c r="B53" s="48"/>
      <c r="C53" s="94"/>
      <c r="D53" s="97"/>
      <c r="E53" s="94"/>
      <c r="F53" s="13">
        <f>L53+125822.11</f>
        <v>135261.2353</v>
      </c>
      <c r="G53" s="22">
        <f t="shared" ref="G53:I53" si="32">SUM(G54:G55)</f>
        <v>111151.57999999999</v>
      </c>
      <c r="H53" s="22">
        <f t="shared" si="32"/>
        <v>23341.835299999999</v>
      </c>
      <c r="I53" s="22">
        <f t="shared" si="32"/>
        <v>134493.41529999999</v>
      </c>
      <c r="J53" s="22">
        <f t="shared" ref="J53:L53" si="33">SUM(J54:J55)</f>
        <v>7800.93</v>
      </c>
      <c r="K53" s="22">
        <f t="shared" si="33"/>
        <v>1638.1952999999994</v>
      </c>
      <c r="L53" s="22">
        <f t="shared" si="33"/>
        <v>9439.1252999999997</v>
      </c>
      <c r="N53" s="13">
        <f>T53+66942.55</f>
        <v>125822.1059</v>
      </c>
      <c r="O53" s="22">
        <f t="shared" ref="O53:Q53" si="34">SUM(O54:O55)</f>
        <v>103350.65</v>
      </c>
      <c r="P53" s="22">
        <f t="shared" si="34"/>
        <v>21703.636499999993</v>
      </c>
      <c r="Q53" s="22">
        <f t="shared" si="34"/>
        <v>125054.28649999999</v>
      </c>
      <c r="R53" s="22">
        <f t="shared" ref="R53:T53" si="35">SUM(R54:R55)</f>
        <v>48660.79</v>
      </c>
      <c r="S53" s="22">
        <f t="shared" si="35"/>
        <v>10218.765899999999</v>
      </c>
      <c r="T53" s="22">
        <f t="shared" si="35"/>
        <v>58879.555899999999</v>
      </c>
      <c r="AQ53" s="13" t="e">
        <f>#REF!+125822.11</f>
        <v>#REF!</v>
      </c>
      <c r="AR53" s="22" t="e">
        <f t="shared" ref="AR53:AT53" si="36">SUM(AR54:AR55)</f>
        <v>#REF!</v>
      </c>
      <c r="AS53" s="22" t="e">
        <f t="shared" si="36"/>
        <v>#REF!</v>
      </c>
      <c r="AT53" s="22" t="e">
        <f t="shared" si="36"/>
        <v>#REF!</v>
      </c>
    </row>
    <row r="54" spans="1:46" hidden="1" x14ac:dyDescent="0.25">
      <c r="A54" s="16" t="s">
        <v>11</v>
      </c>
      <c r="B54" s="44"/>
      <c r="C54" s="94"/>
      <c r="D54" s="97"/>
      <c r="E54" s="94"/>
      <c r="F54" s="26"/>
      <c r="G54" s="18">
        <f>103350.65+J54</f>
        <v>111151.57999999999</v>
      </c>
      <c r="H54" s="18">
        <f>21703.64+K54</f>
        <v>23341.835299999999</v>
      </c>
      <c r="I54" s="18">
        <f>125054.29+L54</f>
        <v>134493.41529999999</v>
      </c>
      <c r="J54" s="23">
        <v>7800.93</v>
      </c>
      <c r="K54" s="18">
        <f>L54-J54</f>
        <v>1638.1952999999994</v>
      </c>
      <c r="L54" s="18">
        <f>J54*1.21</f>
        <v>9439.1252999999997</v>
      </c>
      <c r="N54" s="26"/>
      <c r="O54" s="18">
        <f>54689.86+R54</f>
        <v>103350.65</v>
      </c>
      <c r="P54" s="18">
        <f>Q54-O54</f>
        <v>21703.636499999993</v>
      </c>
      <c r="Q54" s="18">
        <f>O54*1.21</f>
        <v>125054.28649999999</v>
      </c>
      <c r="R54" s="23">
        <v>48660.79</v>
      </c>
      <c r="S54" s="18">
        <f>T54-R54</f>
        <v>10218.765899999999</v>
      </c>
      <c r="T54" s="18">
        <f>R54*1.21</f>
        <v>58879.555899999999</v>
      </c>
      <c r="AQ54" s="26"/>
      <c r="AR54" s="18" t="e">
        <f>103350.65+#REF!</f>
        <v>#REF!</v>
      </c>
      <c r="AS54" s="18" t="e">
        <f>21703.64+#REF!</f>
        <v>#REF!</v>
      </c>
      <c r="AT54" s="18" t="e">
        <f>125054.29+#REF!</f>
        <v>#REF!</v>
      </c>
    </row>
    <row r="55" spans="1:46" hidden="1" x14ac:dyDescent="0.25">
      <c r="A55" s="19" t="s">
        <v>11</v>
      </c>
      <c r="B55" s="46"/>
      <c r="C55" s="94"/>
      <c r="D55" s="97"/>
      <c r="E55" s="94"/>
      <c r="F55" s="37"/>
      <c r="G55" s="21">
        <v>0</v>
      </c>
      <c r="H55" s="18">
        <f>I55-G55</f>
        <v>0</v>
      </c>
      <c r="I55" s="18">
        <f>G55*1.21</f>
        <v>0</v>
      </c>
      <c r="J55" s="21">
        <v>0</v>
      </c>
      <c r="K55" s="18">
        <f>L55-J55</f>
        <v>0</v>
      </c>
      <c r="L55" s="18">
        <f>J55*1.21</f>
        <v>0</v>
      </c>
      <c r="N55" s="37"/>
      <c r="O55" s="21">
        <v>0</v>
      </c>
      <c r="P55" s="18">
        <f>Q55-O55</f>
        <v>0</v>
      </c>
      <c r="Q55" s="18">
        <f>O55*1.21</f>
        <v>0</v>
      </c>
      <c r="R55" s="21">
        <v>0</v>
      </c>
      <c r="S55" s="18">
        <f>T55-R55</f>
        <v>0</v>
      </c>
      <c r="T55" s="18">
        <f>R55*1.21</f>
        <v>0</v>
      </c>
      <c r="AQ55" s="37"/>
      <c r="AR55" s="21">
        <v>0</v>
      </c>
      <c r="AS55" s="18">
        <f>AT55-AR55</f>
        <v>0</v>
      </c>
      <c r="AT55" s="18">
        <f>AR55*1.21</f>
        <v>0</v>
      </c>
    </row>
    <row r="56" spans="1:46" ht="16.899999999999999" hidden="1" customHeight="1" x14ac:dyDescent="0.25">
      <c r="A56" s="11" t="s">
        <v>13</v>
      </c>
      <c r="B56" s="48"/>
      <c r="C56" s="94"/>
      <c r="D56" s="97"/>
      <c r="E56" s="94"/>
      <c r="F56" s="13">
        <f>37165.36+L56</f>
        <v>38093.43</v>
      </c>
      <c r="G56" s="24">
        <f>SUM(G57:G58)</f>
        <v>18710</v>
      </c>
      <c r="H56" s="13">
        <f t="shared" ref="H56:I56" si="37">SUM(H57:H58)</f>
        <v>3929.1</v>
      </c>
      <c r="I56" s="13">
        <f t="shared" si="37"/>
        <v>22639.1</v>
      </c>
      <c r="J56" s="24">
        <f>SUM(J57:J58)</f>
        <v>767</v>
      </c>
      <c r="K56" s="13">
        <f t="shared" ref="K56:L56" si="38">SUM(K57:K58)</f>
        <v>161.06999999999994</v>
      </c>
      <c r="L56" s="13">
        <f t="shared" si="38"/>
        <v>928.06999999999994</v>
      </c>
      <c r="N56" s="13">
        <f>23999.35+T56</f>
        <v>37165.360000000001</v>
      </c>
      <c r="O56" s="24">
        <f>SUM(O57:O58)</f>
        <v>17943</v>
      </c>
      <c r="P56" s="13">
        <f t="shared" ref="P56:Q56" si="39">SUM(P57:P58)</f>
        <v>3768.0299999999988</v>
      </c>
      <c r="Q56" s="13">
        <f t="shared" si="39"/>
        <v>21711.03</v>
      </c>
      <c r="R56" s="24">
        <f>SUM(R57:R58)</f>
        <v>10881</v>
      </c>
      <c r="S56" s="13">
        <f t="shared" ref="S56:T56" si="40">SUM(S57:S58)</f>
        <v>2285.0100000000002</v>
      </c>
      <c r="T56" s="13">
        <f t="shared" si="40"/>
        <v>13166.01</v>
      </c>
      <c r="AQ56" s="13" t="e">
        <f>37165.36+#REF!</f>
        <v>#REF!</v>
      </c>
      <c r="AR56" s="24" t="e">
        <f>SUM(AR57:AR58)</f>
        <v>#REF!</v>
      </c>
      <c r="AS56" s="13" t="e">
        <f t="shared" ref="AS56:AT56" si="41">SUM(AS57:AS58)</f>
        <v>#REF!</v>
      </c>
      <c r="AT56" s="13" t="e">
        <f t="shared" si="41"/>
        <v>#REF!</v>
      </c>
    </row>
    <row r="57" spans="1:46" hidden="1" x14ac:dyDescent="0.25">
      <c r="A57" s="16" t="s">
        <v>11</v>
      </c>
      <c r="B57" s="44"/>
      <c r="C57" s="94"/>
      <c r="D57" s="97"/>
      <c r="E57" s="94"/>
      <c r="F57" s="33"/>
      <c r="G57" s="25">
        <f>17943+J57</f>
        <v>18648</v>
      </c>
      <c r="H57" s="26">
        <f>3768.03+K57</f>
        <v>3916.08</v>
      </c>
      <c r="I57" s="26">
        <f>21711.03+L57</f>
        <v>22564.079999999998</v>
      </c>
      <c r="J57" s="25">
        <v>705</v>
      </c>
      <c r="K57" s="26">
        <f t="shared" ref="K57:K58" si="42">L57-J57</f>
        <v>148.04999999999995</v>
      </c>
      <c r="L57" s="26">
        <f t="shared" ref="L57:L58" si="43">J57*1.21</f>
        <v>853.05</v>
      </c>
      <c r="N57" s="33"/>
      <c r="O57" s="25">
        <f>7062+R57</f>
        <v>17943</v>
      </c>
      <c r="P57" s="26">
        <f t="shared" ref="P57:P58" si="44">Q57-O57</f>
        <v>3768.0299999999988</v>
      </c>
      <c r="Q57" s="26">
        <f t="shared" ref="Q57:Q58" si="45">O57*1.21</f>
        <v>21711.03</v>
      </c>
      <c r="R57" s="25">
        <v>10881</v>
      </c>
      <c r="S57" s="26">
        <f t="shared" ref="S57:S58" si="46">T57-R57</f>
        <v>2285.0100000000002</v>
      </c>
      <c r="T57" s="26">
        <f t="shared" ref="T57:T58" si="47">R57*1.21</f>
        <v>13166.01</v>
      </c>
      <c r="AQ57" s="33"/>
      <c r="AR57" s="25" t="e">
        <f>17943+#REF!</f>
        <v>#REF!</v>
      </c>
      <c r="AS57" s="26" t="e">
        <f>3768.03+#REF!</f>
        <v>#REF!</v>
      </c>
      <c r="AT57" s="26" t="e">
        <f>21711.03+#REF!</f>
        <v>#REF!</v>
      </c>
    </row>
    <row r="58" spans="1:46" hidden="1" x14ac:dyDescent="0.25">
      <c r="A58" s="19" t="s">
        <v>11</v>
      </c>
      <c r="B58" s="46"/>
      <c r="C58" s="95"/>
      <c r="D58" s="98"/>
      <c r="E58" s="95"/>
      <c r="F58" s="35"/>
      <c r="G58" s="27">
        <v>62</v>
      </c>
      <c r="H58" s="28">
        <f t="shared" ref="H58" si="48">I58-G58</f>
        <v>13.019999999999996</v>
      </c>
      <c r="I58" s="28">
        <f t="shared" ref="I58" si="49">G58*1.21</f>
        <v>75.02</v>
      </c>
      <c r="J58" s="27">
        <v>62</v>
      </c>
      <c r="K58" s="28">
        <f t="shared" si="42"/>
        <v>13.019999999999996</v>
      </c>
      <c r="L58" s="28">
        <f t="shared" si="43"/>
        <v>75.02</v>
      </c>
      <c r="N58" s="35"/>
      <c r="O58" s="27">
        <v>0</v>
      </c>
      <c r="P58" s="28">
        <f t="shared" si="44"/>
        <v>0</v>
      </c>
      <c r="Q58" s="28">
        <f t="shared" si="45"/>
        <v>0</v>
      </c>
      <c r="R58" s="27">
        <v>0</v>
      </c>
      <c r="S58" s="28">
        <f t="shared" si="46"/>
        <v>0</v>
      </c>
      <c r="T58" s="28">
        <f t="shared" si="47"/>
        <v>0</v>
      </c>
      <c r="AQ58" s="35"/>
      <c r="AR58" s="27">
        <v>62</v>
      </c>
      <c r="AS58" s="28">
        <f t="shared" ref="AS58" si="50">AT58-AR58</f>
        <v>13.019999999999996</v>
      </c>
      <c r="AT58" s="28">
        <f t="shared" ref="AT58" si="51">AR58*1.21</f>
        <v>75.02</v>
      </c>
    </row>
    <row r="62" spans="1:46" ht="11.45" hidden="1" customHeight="1" x14ac:dyDescent="0.25">
      <c r="A62" s="79" t="s">
        <v>1</v>
      </c>
      <c r="B62" s="87"/>
      <c r="C62" s="79" t="s">
        <v>19</v>
      </c>
      <c r="D62" s="82" t="s">
        <v>3</v>
      </c>
      <c r="E62" s="77" t="s">
        <v>20</v>
      </c>
      <c r="F62" s="78" t="s">
        <v>21</v>
      </c>
      <c r="G62" s="78"/>
      <c r="H62" s="78"/>
      <c r="I62" s="78"/>
      <c r="J62" s="78"/>
      <c r="K62" s="78"/>
      <c r="L62" s="78"/>
      <c r="AQ62" s="78" t="s">
        <v>21</v>
      </c>
      <c r="AR62" s="78"/>
      <c r="AS62" s="78"/>
      <c r="AT62" s="78"/>
    </row>
    <row r="63" spans="1:46" ht="30" hidden="1" customHeight="1" x14ac:dyDescent="0.25">
      <c r="A63" s="80"/>
      <c r="B63" s="89"/>
      <c r="C63" s="80"/>
      <c r="D63" s="83"/>
      <c r="E63" s="77"/>
      <c r="F63" s="77" t="s">
        <v>22</v>
      </c>
      <c r="G63" s="78" t="s">
        <v>4</v>
      </c>
      <c r="H63" s="78"/>
      <c r="I63" s="78"/>
      <c r="J63" s="78" t="s">
        <v>5</v>
      </c>
      <c r="K63" s="78"/>
      <c r="L63" s="78"/>
      <c r="N63" s="77" t="s">
        <v>22</v>
      </c>
      <c r="O63" s="78" t="s">
        <v>4</v>
      </c>
      <c r="P63" s="78"/>
      <c r="Q63" s="78"/>
      <c r="R63" s="78" t="s">
        <v>5</v>
      </c>
      <c r="S63" s="78"/>
      <c r="T63" s="78"/>
      <c r="AQ63" s="77" t="s">
        <v>22</v>
      </c>
      <c r="AR63" s="78" t="s">
        <v>4</v>
      </c>
      <c r="AS63" s="78"/>
      <c r="AT63" s="78"/>
    </row>
    <row r="64" spans="1:46" ht="25.9" hidden="1" customHeight="1" x14ac:dyDescent="0.25">
      <c r="A64" s="80"/>
      <c r="B64" s="89"/>
      <c r="C64" s="81"/>
      <c r="D64" s="84"/>
      <c r="E64" s="77"/>
      <c r="F64" s="79"/>
      <c r="G64" s="30" t="s">
        <v>6</v>
      </c>
      <c r="H64" s="31" t="s">
        <v>7</v>
      </c>
      <c r="I64" s="31" t="s">
        <v>8</v>
      </c>
      <c r="J64" s="30" t="s">
        <v>6</v>
      </c>
      <c r="K64" s="31" t="s">
        <v>7</v>
      </c>
      <c r="L64" s="31" t="s">
        <v>8</v>
      </c>
      <c r="N64" s="77"/>
      <c r="O64" s="9" t="s">
        <v>6</v>
      </c>
      <c r="P64" s="10" t="s">
        <v>7</v>
      </c>
      <c r="Q64" s="10" t="s">
        <v>8</v>
      </c>
      <c r="R64" s="9" t="s">
        <v>6</v>
      </c>
      <c r="S64" s="10" t="s">
        <v>7</v>
      </c>
      <c r="T64" s="10" t="s">
        <v>8</v>
      </c>
      <c r="AQ64" s="79"/>
      <c r="AR64" s="30" t="s">
        <v>6</v>
      </c>
      <c r="AS64" s="31" t="s">
        <v>7</v>
      </c>
      <c r="AT64" s="31" t="s">
        <v>8</v>
      </c>
    </row>
    <row r="65" spans="1:46" ht="30.6" hidden="1" customHeight="1" x14ac:dyDescent="0.25">
      <c r="A65" s="11" t="s">
        <v>9</v>
      </c>
      <c r="B65" s="12"/>
      <c r="C65" s="100" t="s">
        <v>23</v>
      </c>
      <c r="D65" s="96" t="s">
        <v>10</v>
      </c>
      <c r="E65" s="99">
        <v>530000</v>
      </c>
      <c r="F65" s="13">
        <f>224024.65+L65</f>
        <v>234914.28</v>
      </c>
      <c r="G65" s="13">
        <f t="shared" ref="G65:I65" si="52">SUM(G66:G68)</f>
        <v>180737.28</v>
      </c>
      <c r="H65" s="13">
        <f t="shared" si="52"/>
        <v>37954.846799999999</v>
      </c>
      <c r="I65" s="13">
        <f t="shared" si="52"/>
        <v>218692.12430000002</v>
      </c>
      <c r="J65" s="13">
        <f>SUM(J66:J68)</f>
        <v>8999.69</v>
      </c>
      <c r="K65" s="13">
        <f t="shared" ref="K65:L65" si="53">SUM(K66:K68)</f>
        <v>1889.94</v>
      </c>
      <c r="L65" s="13">
        <f t="shared" si="53"/>
        <v>10889.630000000001</v>
      </c>
      <c r="N65" s="13">
        <f>90941.9+T65</f>
        <v>162987.46590000001</v>
      </c>
      <c r="O65" s="15">
        <f t="shared" ref="O65:T65" si="54">SUM(O66:O67)</f>
        <v>121293.65</v>
      </c>
      <c r="P65" s="13">
        <f t="shared" si="54"/>
        <v>25471.666499999992</v>
      </c>
      <c r="Q65" s="14">
        <f t="shared" si="54"/>
        <v>146765.31649999999</v>
      </c>
      <c r="R65" s="15">
        <f t="shared" si="54"/>
        <v>59541.79</v>
      </c>
      <c r="S65" s="13">
        <f t="shared" si="54"/>
        <v>12503.775900000001</v>
      </c>
      <c r="T65" s="14">
        <f t="shared" si="54"/>
        <v>72045.565900000001</v>
      </c>
      <c r="AQ65" s="13" t="e">
        <f>224024.65+#REF!</f>
        <v>#REF!</v>
      </c>
      <c r="AR65" s="13" t="e">
        <f t="shared" ref="AR65:AT65" si="55">SUM(AR66:AR68)</f>
        <v>#REF!</v>
      </c>
      <c r="AS65" s="13" t="e">
        <f t="shared" si="55"/>
        <v>#REF!</v>
      </c>
      <c r="AT65" s="13" t="e">
        <f t="shared" si="55"/>
        <v>#REF!</v>
      </c>
    </row>
    <row r="66" spans="1:46" hidden="1" x14ac:dyDescent="0.25">
      <c r="A66" s="16" t="s">
        <v>11</v>
      </c>
      <c r="B66" s="17"/>
      <c r="C66" s="94"/>
      <c r="D66" s="97"/>
      <c r="E66" s="94"/>
      <c r="F66" s="33"/>
      <c r="G66" s="18">
        <f>G74+G70</f>
        <v>129799.58</v>
      </c>
      <c r="H66" s="18">
        <v>27257.919999999998</v>
      </c>
      <c r="I66" s="18">
        <f>SUM(G66:H66)</f>
        <v>157057.5</v>
      </c>
      <c r="J66" s="18">
        <v>0</v>
      </c>
      <c r="K66" s="18">
        <f>L66-J66</f>
        <v>0</v>
      </c>
      <c r="L66" s="18">
        <f>J66*1.21</f>
        <v>0</v>
      </c>
      <c r="N66" s="33"/>
      <c r="O66" s="18">
        <f>O74+O70</f>
        <v>121293.65</v>
      </c>
      <c r="P66" s="18">
        <f>Q66-O66</f>
        <v>25471.666499999992</v>
      </c>
      <c r="Q66" s="18">
        <f>O66*1.21</f>
        <v>146765.31649999999</v>
      </c>
      <c r="R66" s="18">
        <f>R74+R70</f>
        <v>59541.79</v>
      </c>
      <c r="S66" s="18">
        <f>T66-R66</f>
        <v>12503.775900000001</v>
      </c>
      <c r="T66" s="18">
        <f>R66*1.21</f>
        <v>72045.565900000001</v>
      </c>
      <c r="AQ66" s="33"/>
      <c r="AR66" s="18" t="e">
        <f>AR74+AR70</f>
        <v>#REF!</v>
      </c>
      <c r="AS66" s="18">
        <v>27257.919999999998</v>
      </c>
      <c r="AT66" s="18" t="e">
        <f>SUM(AR66:AS66)</f>
        <v>#REF!</v>
      </c>
    </row>
    <row r="67" spans="1:46" hidden="1" x14ac:dyDescent="0.25">
      <c r="A67" s="16" t="s">
        <v>11</v>
      </c>
      <c r="B67" s="34"/>
      <c r="C67" s="94"/>
      <c r="D67" s="97"/>
      <c r="E67" s="94"/>
      <c r="F67" s="33"/>
      <c r="G67" s="18">
        <f t="shared" ref="G67:I68" si="56">G71+G75</f>
        <v>23538.95</v>
      </c>
      <c r="H67" s="18">
        <f t="shared" si="56"/>
        <v>4943.1867999999995</v>
      </c>
      <c r="I67" s="18">
        <f t="shared" si="56"/>
        <v>28482.1368</v>
      </c>
      <c r="J67" s="18">
        <f>J71+J75</f>
        <v>7078.4400000000005</v>
      </c>
      <c r="K67" s="18">
        <f t="shared" ref="K67:L68" si="57">K71+K75</f>
        <v>1486.48</v>
      </c>
      <c r="L67" s="18">
        <f t="shared" si="57"/>
        <v>8564.92</v>
      </c>
      <c r="N67" s="35"/>
      <c r="O67" s="21">
        <f t="shared" ref="O67:T67" si="58">O71+O75</f>
        <v>0</v>
      </c>
      <c r="P67" s="21">
        <f t="shared" si="58"/>
        <v>0</v>
      </c>
      <c r="Q67" s="21">
        <f t="shared" si="58"/>
        <v>0</v>
      </c>
      <c r="R67" s="21">
        <f t="shared" si="58"/>
        <v>0</v>
      </c>
      <c r="S67" s="21">
        <f t="shared" si="58"/>
        <v>0</v>
      </c>
      <c r="T67" s="21">
        <f t="shared" si="58"/>
        <v>0</v>
      </c>
      <c r="AQ67" s="33"/>
      <c r="AR67" s="18" t="e">
        <f t="shared" ref="AR67:AT68" si="59">AR71+AR75</f>
        <v>#REF!</v>
      </c>
      <c r="AS67" s="18" t="e">
        <f t="shared" si="59"/>
        <v>#REF!</v>
      </c>
      <c r="AT67" s="18" t="e">
        <f t="shared" si="59"/>
        <v>#REF!</v>
      </c>
    </row>
    <row r="68" spans="1:46" hidden="1" x14ac:dyDescent="0.25">
      <c r="A68" s="16" t="s">
        <v>11</v>
      </c>
      <c r="B68" s="34"/>
      <c r="C68" s="94"/>
      <c r="D68" s="97"/>
      <c r="E68" s="94"/>
      <c r="F68" s="33"/>
      <c r="G68" s="21">
        <f t="shared" si="56"/>
        <v>27398.75</v>
      </c>
      <c r="H68" s="21">
        <f t="shared" si="56"/>
        <v>5753.74</v>
      </c>
      <c r="I68" s="21">
        <f t="shared" si="56"/>
        <v>33152.487500000003</v>
      </c>
      <c r="J68" s="21">
        <f>J72+J76</f>
        <v>1921.25</v>
      </c>
      <c r="K68" s="21">
        <f t="shared" si="57"/>
        <v>403.46000000000004</v>
      </c>
      <c r="L68" s="21">
        <f t="shared" si="57"/>
        <v>2324.71</v>
      </c>
      <c r="N68" s="35"/>
      <c r="O68" s="21">
        <f t="shared" ref="O68:T68" si="60">O73+O77</f>
        <v>17943</v>
      </c>
      <c r="P68" s="21">
        <f t="shared" si="60"/>
        <v>3768.0299999999988</v>
      </c>
      <c r="Q68" s="21">
        <f t="shared" si="60"/>
        <v>21711.03</v>
      </c>
      <c r="R68" s="21">
        <f t="shared" si="60"/>
        <v>10881</v>
      </c>
      <c r="S68" s="21">
        <f t="shared" si="60"/>
        <v>2285.0100000000002</v>
      </c>
      <c r="T68" s="21">
        <f t="shared" si="60"/>
        <v>13166.01</v>
      </c>
      <c r="AQ68" s="33"/>
      <c r="AR68" s="21" t="e">
        <f t="shared" si="59"/>
        <v>#REF!</v>
      </c>
      <c r="AS68" s="21" t="e">
        <f t="shared" si="59"/>
        <v>#REF!</v>
      </c>
      <c r="AT68" s="21" t="e">
        <f t="shared" si="59"/>
        <v>#REF!</v>
      </c>
    </row>
    <row r="69" spans="1:46" ht="21.6" hidden="1" customHeight="1" x14ac:dyDescent="0.25">
      <c r="A69" s="11" t="s">
        <v>12</v>
      </c>
      <c r="B69" s="12"/>
      <c r="C69" s="94"/>
      <c r="D69" s="97"/>
      <c r="E69" s="94"/>
      <c r="F69" s="13">
        <f>L69+159026.98</f>
        <v>164909.42000000001</v>
      </c>
      <c r="G69" s="49">
        <f>SUM(G70:G72)</f>
        <v>135654.20000000001</v>
      </c>
      <c r="H69" s="43">
        <f t="shared" ref="H69:I69" si="61">SUM(H70:H72)</f>
        <v>28487.4</v>
      </c>
      <c r="I69" s="43">
        <f t="shared" si="61"/>
        <v>164141.5975</v>
      </c>
      <c r="J69" s="43">
        <f>SUM(J70:J72)</f>
        <v>4861.5200000000004</v>
      </c>
      <c r="K69" s="43">
        <f>SUM(K70:K72)</f>
        <v>1020.9200000000001</v>
      </c>
      <c r="L69" s="43">
        <f>SUM(L70:L72)</f>
        <v>5882.4400000000005</v>
      </c>
      <c r="N69" s="13">
        <f>T69+66942.55</f>
        <v>125822.1059</v>
      </c>
      <c r="O69" s="22">
        <f t="shared" ref="O69:Q69" si="62">SUM(O70:O71)</f>
        <v>103350.65</v>
      </c>
      <c r="P69" s="22">
        <f t="shared" si="62"/>
        <v>21703.636499999993</v>
      </c>
      <c r="Q69" s="22">
        <f t="shared" si="62"/>
        <v>125054.28649999999</v>
      </c>
      <c r="R69" s="22">
        <f t="shared" ref="R69:T69" si="63">SUM(R70:R71)</f>
        <v>48660.79</v>
      </c>
      <c r="S69" s="22">
        <f t="shared" si="63"/>
        <v>10218.765899999999</v>
      </c>
      <c r="T69" s="22">
        <f t="shared" si="63"/>
        <v>58879.555899999999</v>
      </c>
      <c r="AQ69" s="13" t="e">
        <f>#REF!+159026.98</f>
        <v>#REF!</v>
      </c>
      <c r="AR69" s="49" t="e">
        <f>SUM(AR70:AR72)</f>
        <v>#REF!</v>
      </c>
      <c r="AS69" s="43" t="e">
        <f t="shared" ref="AS69:AT69" si="64">SUM(AS70:AS72)</f>
        <v>#REF!</v>
      </c>
      <c r="AT69" s="43" t="e">
        <f t="shared" si="64"/>
        <v>#REF!</v>
      </c>
    </row>
    <row r="70" spans="1:46" hidden="1" x14ac:dyDescent="0.25">
      <c r="A70" s="16" t="s">
        <v>11</v>
      </c>
      <c r="B70" s="17"/>
      <c r="C70" s="94"/>
      <c r="D70" s="97"/>
      <c r="E70" s="94"/>
      <c r="F70" s="26"/>
      <c r="G70" s="50">
        <f>111151.58+J70</f>
        <v>111151.58</v>
      </c>
      <c r="H70" s="18">
        <f>23341.84+K70</f>
        <v>23341.84</v>
      </c>
      <c r="I70" s="18">
        <f>134493.42+L70</f>
        <v>134493.42000000001</v>
      </c>
      <c r="J70" s="18">
        <v>0</v>
      </c>
      <c r="K70" s="18">
        <f>L70-J70</f>
        <v>0</v>
      </c>
      <c r="L70" s="18">
        <f>J70*1.21</f>
        <v>0</v>
      </c>
      <c r="N70" s="26"/>
      <c r="O70" s="18">
        <f>54689.86+R70</f>
        <v>103350.65</v>
      </c>
      <c r="P70" s="18">
        <f>Q70-O70</f>
        <v>21703.636499999993</v>
      </c>
      <c r="Q70" s="18">
        <f>O70*1.21</f>
        <v>125054.28649999999</v>
      </c>
      <c r="R70" s="23">
        <v>48660.79</v>
      </c>
      <c r="S70" s="18">
        <f>T70-R70</f>
        <v>10218.765899999999</v>
      </c>
      <c r="T70" s="18">
        <f>R70*1.21</f>
        <v>58879.555899999999</v>
      </c>
      <c r="AQ70" s="26"/>
      <c r="AR70" s="50" t="e">
        <f>111151.58+#REF!</f>
        <v>#REF!</v>
      </c>
      <c r="AS70" s="18" t="e">
        <f>23341.84+#REF!</f>
        <v>#REF!</v>
      </c>
      <c r="AT70" s="18" t="e">
        <f>134493.42+#REF!</f>
        <v>#REF!</v>
      </c>
    </row>
    <row r="71" spans="1:46" hidden="1" x14ac:dyDescent="0.25">
      <c r="A71" s="16" t="s">
        <v>11</v>
      </c>
      <c r="B71" s="34"/>
      <c r="C71" s="94"/>
      <c r="D71" s="97"/>
      <c r="E71" s="94"/>
      <c r="F71" s="36"/>
      <c r="G71" s="50">
        <f>1163.6+J71</f>
        <v>4103.87</v>
      </c>
      <c r="H71" s="18">
        <f>244.36+K71</f>
        <v>861.82</v>
      </c>
      <c r="I71" s="18">
        <f>1407.96+L71</f>
        <v>4965.6900000000005</v>
      </c>
      <c r="J71" s="18">
        <v>2940.27</v>
      </c>
      <c r="K71" s="18">
        <f>L71-J71</f>
        <v>617.46</v>
      </c>
      <c r="L71" s="18">
        <v>3557.73</v>
      </c>
      <c r="N71" s="37"/>
      <c r="O71" s="21">
        <v>0</v>
      </c>
      <c r="P71" s="18">
        <f>Q71-O71</f>
        <v>0</v>
      </c>
      <c r="Q71" s="18">
        <f>O71*1.21</f>
        <v>0</v>
      </c>
      <c r="R71" s="21">
        <v>0</v>
      </c>
      <c r="S71" s="18">
        <f>T71-R71</f>
        <v>0</v>
      </c>
      <c r="T71" s="18">
        <f>R71*1.21</f>
        <v>0</v>
      </c>
      <c r="AQ71" s="36"/>
      <c r="AR71" s="50" t="e">
        <f>1163.6+#REF!</f>
        <v>#REF!</v>
      </c>
      <c r="AS71" s="18" t="e">
        <f>244.36+#REF!</f>
        <v>#REF!</v>
      </c>
      <c r="AT71" s="18" t="e">
        <f>1407.96+#REF!</f>
        <v>#REF!</v>
      </c>
    </row>
    <row r="72" spans="1:46" hidden="1" x14ac:dyDescent="0.25">
      <c r="A72" s="16" t="s">
        <v>11</v>
      </c>
      <c r="B72" s="34"/>
      <c r="C72" s="94"/>
      <c r="D72" s="97"/>
      <c r="E72" s="94"/>
      <c r="F72" s="35"/>
      <c r="G72" s="51">
        <f>18477.5+J72</f>
        <v>20398.75</v>
      </c>
      <c r="H72" s="21">
        <f>3880.28+K72</f>
        <v>4283.74</v>
      </c>
      <c r="I72" s="18">
        <f>G72*1.21</f>
        <v>24682.487499999999</v>
      </c>
      <c r="J72" s="21">
        <v>1921.25</v>
      </c>
      <c r="K72" s="18">
        <f>L72-J72</f>
        <v>403.46000000000004</v>
      </c>
      <c r="L72" s="21">
        <v>2324.71</v>
      </c>
      <c r="N72" s="35"/>
      <c r="O72" s="21">
        <f t="shared" ref="O72:T72" si="65">O78+O81</f>
        <v>0</v>
      </c>
      <c r="P72" s="21">
        <f t="shared" si="65"/>
        <v>0</v>
      </c>
      <c r="Q72" s="21">
        <f t="shared" si="65"/>
        <v>0</v>
      </c>
      <c r="R72" s="21">
        <f t="shared" si="65"/>
        <v>0</v>
      </c>
      <c r="S72" s="21">
        <f t="shared" si="65"/>
        <v>0</v>
      </c>
      <c r="T72" s="21">
        <f t="shared" si="65"/>
        <v>0</v>
      </c>
      <c r="AQ72" s="35"/>
      <c r="AR72" s="51" t="e">
        <f>18477.5+#REF!</f>
        <v>#REF!</v>
      </c>
      <c r="AS72" s="21" t="e">
        <f>3880.28+#REF!</f>
        <v>#REF!</v>
      </c>
      <c r="AT72" s="18" t="e">
        <f>AR72*1.21</f>
        <v>#REF!</v>
      </c>
    </row>
    <row r="73" spans="1:46" ht="16.899999999999999" hidden="1" customHeight="1" x14ac:dyDescent="0.25">
      <c r="A73" s="11" t="s">
        <v>13</v>
      </c>
      <c r="B73" s="12"/>
      <c r="C73" s="94"/>
      <c r="D73" s="97"/>
      <c r="E73" s="94"/>
      <c r="F73" s="40">
        <f>64997.67+L73</f>
        <v>70004.86</v>
      </c>
      <c r="G73" s="13">
        <f>SUM(G74:G76)</f>
        <v>45083.08</v>
      </c>
      <c r="H73" s="13">
        <f t="shared" ref="H73" si="66">SUM(H74:H76)</f>
        <v>9467.4467999999997</v>
      </c>
      <c r="I73" s="13">
        <f>SUM(I74:I76)</f>
        <v>54550.526800000007</v>
      </c>
      <c r="J73" s="13">
        <f t="shared" ref="J73:L73" si="67">SUM(J74:J76)</f>
        <v>4138.17</v>
      </c>
      <c r="K73" s="13">
        <f t="shared" si="67"/>
        <v>869.02</v>
      </c>
      <c r="L73" s="13">
        <f t="shared" si="67"/>
        <v>5007.1899999999996</v>
      </c>
      <c r="N73" s="13">
        <f>23999.35+T73</f>
        <v>37165.360000000001</v>
      </c>
      <c r="O73" s="24">
        <f t="shared" ref="O73:T73" si="68">SUM(O74:O75)</f>
        <v>17943</v>
      </c>
      <c r="P73" s="13">
        <f t="shared" si="68"/>
        <v>3768.0299999999988</v>
      </c>
      <c r="Q73" s="13">
        <f t="shared" si="68"/>
        <v>21711.03</v>
      </c>
      <c r="R73" s="24">
        <f t="shared" si="68"/>
        <v>10881</v>
      </c>
      <c r="S73" s="13">
        <f t="shared" si="68"/>
        <v>2285.0100000000002</v>
      </c>
      <c r="T73" s="13">
        <f t="shared" si="68"/>
        <v>13166.01</v>
      </c>
      <c r="AQ73" s="40" t="e">
        <f>64997.67+#REF!</f>
        <v>#REF!</v>
      </c>
      <c r="AR73" s="13" t="e">
        <f>SUM(AR74:AR76)</f>
        <v>#REF!</v>
      </c>
      <c r="AS73" s="13" t="e">
        <f t="shared" ref="AS73" si="69">SUM(AS74:AS76)</f>
        <v>#REF!</v>
      </c>
      <c r="AT73" s="13" t="e">
        <f>SUM(AT74:AT76)</f>
        <v>#REF!</v>
      </c>
    </row>
    <row r="74" spans="1:46" hidden="1" x14ac:dyDescent="0.25">
      <c r="A74" s="16" t="s">
        <v>11</v>
      </c>
      <c r="B74" s="17"/>
      <c r="C74" s="94"/>
      <c r="D74" s="97"/>
      <c r="E74" s="94"/>
      <c r="F74" s="33"/>
      <c r="G74" s="26">
        <f>18648+J74</f>
        <v>18648</v>
      </c>
      <c r="H74" s="26">
        <f>3916.08+K74</f>
        <v>3916.08</v>
      </c>
      <c r="I74" s="26">
        <f>22564.08+L74</f>
        <v>22564.080000000002</v>
      </c>
      <c r="J74" s="18">
        <v>0</v>
      </c>
      <c r="K74" s="18">
        <f t="shared" ref="K74" si="70">L74-J74</f>
        <v>0</v>
      </c>
      <c r="L74" s="18">
        <f t="shared" ref="L74" si="71">J74*1.21</f>
        <v>0</v>
      </c>
      <c r="N74" s="33"/>
      <c r="O74" s="25">
        <f>7062+R74</f>
        <v>17943</v>
      </c>
      <c r="P74" s="26">
        <f t="shared" ref="P74:P75" si="72">Q74-O74</f>
        <v>3768.0299999999988</v>
      </c>
      <c r="Q74" s="26">
        <f t="shared" ref="Q74:Q75" si="73">O74*1.21</f>
        <v>21711.03</v>
      </c>
      <c r="R74" s="25">
        <v>10881</v>
      </c>
      <c r="S74" s="26">
        <f t="shared" ref="S74:S75" si="74">T74-R74</f>
        <v>2285.0100000000002</v>
      </c>
      <c r="T74" s="26">
        <f t="shared" ref="T74:T75" si="75">R74*1.21</f>
        <v>13166.01</v>
      </c>
      <c r="AQ74" s="33"/>
      <c r="AR74" s="26" t="e">
        <f>18648+#REF!</f>
        <v>#REF!</v>
      </c>
      <c r="AS74" s="26" t="e">
        <f>3916.08+#REF!</f>
        <v>#REF!</v>
      </c>
      <c r="AT74" s="26" t="e">
        <f>22564.08+#REF!</f>
        <v>#REF!</v>
      </c>
    </row>
    <row r="75" spans="1:46" hidden="1" x14ac:dyDescent="0.25">
      <c r="A75" s="16" t="s">
        <v>11</v>
      </c>
      <c r="B75" s="34"/>
      <c r="C75" s="94"/>
      <c r="D75" s="97"/>
      <c r="E75" s="94"/>
      <c r="F75" s="33"/>
      <c r="G75" s="26">
        <f>15296.91+J75</f>
        <v>19435.080000000002</v>
      </c>
      <c r="H75" s="26">
        <f t="shared" ref="H75:H76" si="76">I75-G75</f>
        <v>4081.3667999999998</v>
      </c>
      <c r="I75" s="26">
        <f t="shared" ref="I75:I76" si="77">G75*1.21</f>
        <v>23516.446800000002</v>
      </c>
      <c r="J75" s="18">
        <v>4138.17</v>
      </c>
      <c r="K75" s="18">
        <v>869.02</v>
      </c>
      <c r="L75" s="18">
        <v>5007.1899999999996</v>
      </c>
      <c r="N75" s="35"/>
      <c r="O75" s="27">
        <v>0</v>
      </c>
      <c r="P75" s="28">
        <f t="shared" si="72"/>
        <v>0</v>
      </c>
      <c r="Q75" s="28">
        <f t="shared" si="73"/>
        <v>0</v>
      </c>
      <c r="R75" s="27">
        <v>0</v>
      </c>
      <c r="S75" s="28">
        <f t="shared" si="74"/>
        <v>0</v>
      </c>
      <c r="T75" s="28">
        <f t="shared" si="75"/>
        <v>0</v>
      </c>
      <c r="AQ75" s="33"/>
      <c r="AR75" s="26" t="e">
        <f>15296.91+#REF!</f>
        <v>#REF!</v>
      </c>
      <c r="AS75" s="26" t="e">
        <f t="shared" ref="AS75:AS76" si="78">AT75-AR75</f>
        <v>#REF!</v>
      </c>
      <c r="AT75" s="26" t="e">
        <f t="shared" ref="AT75:AT76" si="79">AR75*1.21</f>
        <v>#REF!</v>
      </c>
    </row>
    <row r="76" spans="1:46" hidden="1" x14ac:dyDescent="0.25">
      <c r="A76" s="19" t="s">
        <v>11</v>
      </c>
      <c r="B76" s="20"/>
      <c r="C76" s="52"/>
      <c r="D76" s="53"/>
      <c r="E76" s="52"/>
      <c r="F76" s="35"/>
      <c r="G76" s="28">
        <f>7000+J76</f>
        <v>7000</v>
      </c>
      <c r="H76" s="28">
        <f t="shared" si="76"/>
        <v>1470</v>
      </c>
      <c r="I76" s="28">
        <f t="shared" si="77"/>
        <v>8470</v>
      </c>
      <c r="J76" s="21">
        <v>0</v>
      </c>
      <c r="K76" s="21">
        <v>0</v>
      </c>
      <c r="L76" s="21">
        <v>0</v>
      </c>
      <c r="N76" s="1"/>
      <c r="O76" s="54"/>
      <c r="P76" s="54"/>
      <c r="Q76" s="54"/>
      <c r="R76" s="54"/>
      <c r="S76" s="54"/>
      <c r="T76" s="54"/>
      <c r="AQ76" s="35"/>
      <c r="AR76" s="28" t="e">
        <f>7000+#REF!</f>
        <v>#REF!</v>
      </c>
      <c r="AS76" s="28" t="e">
        <f t="shared" si="78"/>
        <v>#REF!</v>
      </c>
      <c r="AT76" s="28" t="e">
        <f t="shared" si="79"/>
        <v>#REF!</v>
      </c>
    </row>
    <row r="77" spans="1:46" hidden="1" x14ac:dyDescent="0.25"/>
  </sheetData>
  <mergeCells count="86">
    <mergeCell ref="C65:C75"/>
    <mergeCell ref="D65:D75"/>
    <mergeCell ref="E65:E75"/>
    <mergeCell ref="F62:L62"/>
    <mergeCell ref="AQ62:AT62"/>
    <mergeCell ref="F63:F64"/>
    <mergeCell ref="G63:I63"/>
    <mergeCell ref="J63:L63"/>
    <mergeCell ref="N63:N64"/>
    <mergeCell ref="O63:Q63"/>
    <mergeCell ref="R63:T63"/>
    <mergeCell ref="AQ63:AQ64"/>
    <mergeCell ref="AR63:AT63"/>
    <mergeCell ref="C50:C58"/>
    <mergeCell ref="D50:D58"/>
    <mergeCell ref="E50:E58"/>
    <mergeCell ref="A62:A64"/>
    <mergeCell ref="B62:B64"/>
    <mergeCell ref="C62:C64"/>
    <mergeCell ref="D62:D64"/>
    <mergeCell ref="E62:E64"/>
    <mergeCell ref="AQ47:AT47"/>
    <mergeCell ref="F48:F49"/>
    <mergeCell ref="G48:I48"/>
    <mergeCell ref="J48:L48"/>
    <mergeCell ref="N48:N49"/>
    <mergeCell ref="O48:Q48"/>
    <mergeCell ref="R48:T48"/>
    <mergeCell ref="AQ48:AQ49"/>
    <mergeCell ref="AR48:AT48"/>
    <mergeCell ref="J33:L33"/>
    <mergeCell ref="N33:N34"/>
    <mergeCell ref="O33:Q33"/>
    <mergeCell ref="R33:T33"/>
    <mergeCell ref="F47:L47"/>
    <mergeCell ref="C35:C45"/>
    <mergeCell ref="D35:D45"/>
    <mergeCell ref="E35:E45"/>
    <mergeCell ref="F33:F34"/>
    <mergeCell ref="G33:I33"/>
    <mergeCell ref="A47:A49"/>
    <mergeCell ref="B47:B49"/>
    <mergeCell ref="C47:C49"/>
    <mergeCell ref="D47:D49"/>
    <mergeCell ref="E47:E49"/>
    <mergeCell ref="AJ10:AP10"/>
    <mergeCell ref="AQ11:AQ12"/>
    <mergeCell ref="AR11:AT11"/>
    <mergeCell ref="F21:L21"/>
    <mergeCell ref="A32:A34"/>
    <mergeCell ref="B32:B34"/>
    <mergeCell ref="C32:C34"/>
    <mergeCell ref="D32:D34"/>
    <mergeCell ref="E32:E34"/>
    <mergeCell ref="F32:L32"/>
    <mergeCell ref="AQ32:AT32"/>
    <mergeCell ref="AJ11:AJ12"/>
    <mergeCell ref="AK11:AM11"/>
    <mergeCell ref="AN11:AP11"/>
    <mergeCell ref="AQ33:AQ34"/>
    <mergeCell ref="AR33:AT33"/>
    <mergeCell ref="R11:T11"/>
    <mergeCell ref="AD11:AD12"/>
    <mergeCell ref="AE11:AG11"/>
    <mergeCell ref="AH11:AI11"/>
    <mergeCell ref="X10:Y12"/>
    <mergeCell ref="Z10:Z12"/>
    <mergeCell ref="AA10:AA12"/>
    <mergeCell ref="AB10:AC12"/>
    <mergeCell ref="AD10:AI10"/>
    <mergeCell ref="F7:H7"/>
    <mergeCell ref="AQ7:AS7"/>
    <mergeCell ref="E8:I8"/>
    <mergeCell ref="A10:A12"/>
    <mergeCell ref="B10:B12"/>
    <mergeCell ref="C10:C12"/>
    <mergeCell ref="D10:D12"/>
    <mergeCell ref="E10:E12"/>
    <mergeCell ref="F10:L10"/>
    <mergeCell ref="W10:W12"/>
    <mergeCell ref="AQ10:AT10"/>
    <mergeCell ref="F11:F12"/>
    <mergeCell ref="G11:I11"/>
    <mergeCell ref="J11:L11"/>
    <mergeCell ref="N11:N12"/>
    <mergeCell ref="O11:Q11"/>
  </mergeCells>
  <printOptions horizontalCentered="1"/>
  <pageMargins left="0.43307086614173229" right="0.31496062992125984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Rimvidas Leonavičius</dc:creator>
  <cp:lastModifiedBy>R S</cp:lastModifiedBy>
  <cp:lastPrinted>2024-02-23T08:48:47Z</cp:lastPrinted>
  <dcterms:created xsi:type="dcterms:W3CDTF">2022-04-27T11:36:46Z</dcterms:created>
  <dcterms:modified xsi:type="dcterms:W3CDTF">2026-01-22T12:55:35Z</dcterms:modified>
</cp:coreProperties>
</file>